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Darks\new\jishe\outputs\revenue_launch_pack_20260718\excel\"/>
    </mc:Choice>
  </mc:AlternateContent>
  <xr:revisionPtr revIDLastSave="0" documentId="13_ncr:1_{810FE237-8E9E-42A2-9BA5-DCFB8ECF73BC}" xr6:coauthVersionLast="47" xr6:coauthVersionMax="47" xr10:uidLastSave="{00000000-0000-0000-0000-000000000000}"/>
  <bookViews>
    <workbookView xWindow="0" yWindow="2690" windowWidth="14380" windowHeight="11170" xr2:uid="{00000000-000D-0000-FFFF-FFFF00000000}"/>
  </bookViews>
  <sheets>
    <sheet name="Dashboard" sheetId="1" r:id="rId1"/>
    <sheet name="Monthly Model" sheetId="2" r:id="rId2"/>
    <sheet name="Channel Model" sheetId="3" r:id="rId3"/>
    <sheet name="Source Data" sheetId="4" r:id="rId4"/>
    <sheet name="Assumptions" sheetId="5" r:id="rId5"/>
    <sheet name="Checks" sheetId="6" r:id="rId6"/>
    <sheet name="Data Dictionary" sheetId="7" r:id="rId7"/>
  </sheets>
  <definedNames>
    <definedName name="_xlnm.Print_Area" localSheetId="4">Assumptions!$A$1:$N$23</definedName>
    <definedName name="_xlnm.Print_Area" localSheetId="2">'Channel Model'!$A$1:$N$15</definedName>
    <definedName name="_xlnm.Print_Area" localSheetId="5">Checks!$A$1:$N$13</definedName>
    <definedName name="_xlnm.Print_Area" localSheetId="0">Dashboard!$A$1:$N$33</definedName>
    <definedName name="_xlnm.Print_Area" localSheetId="6">'Data Dictionary'!$A$1:$N$21</definedName>
    <definedName name="_xlnm.Print_Area" localSheetId="1">'Monthly Model'!$A$1:$N$17</definedName>
    <definedName name="_xlnm.Print_Area" localSheetId="3">'Source Data'!$A$1:$N$53</definedName>
  </definedNames>
  <calcPr calcId="181029"/>
</workbook>
</file>

<file path=xl/calcChain.xml><?xml version="1.0" encoding="utf-8"?>
<calcChain xmlns="http://schemas.openxmlformats.org/spreadsheetml/2006/main">
  <c r="C13" i="6" l="1"/>
  <c r="B13" i="6" s="1"/>
  <c r="C12" i="6"/>
  <c r="B12" i="6" s="1"/>
  <c r="C11" i="6"/>
  <c r="B11" i="6" s="1"/>
  <c r="J53" i="4"/>
  <c r="E53" i="4"/>
  <c r="G53" i="4" s="1"/>
  <c r="I53" i="4" s="1"/>
  <c r="J52" i="4"/>
  <c r="E52" i="4"/>
  <c r="G52" i="4" s="1"/>
  <c r="I52" i="4" s="1"/>
  <c r="J51" i="4"/>
  <c r="E51" i="4"/>
  <c r="G51" i="4" s="1"/>
  <c r="I51" i="4" s="1"/>
  <c r="J50" i="4"/>
  <c r="E50" i="4"/>
  <c r="G50" i="4" s="1"/>
  <c r="I50" i="4" s="1"/>
  <c r="J49" i="4"/>
  <c r="E49" i="4"/>
  <c r="G49" i="4" s="1"/>
  <c r="I49" i="4" s="1"/>
  <c r="J48" i="4"/>
  <c r="G48" i="4"/>
  <c r="I48" i="4" s="1"/>
  <c r="E48" i="4"/>
  <c r="J47" i="4"/>
  <c r="E47" i="4"/>
  <c r="G47" i="4" s="1"/>
  <c r="I47" i="4" s="1"/>
  <c r="J46" i="4"/>
  <c r="E46" i="4"/>
  <c r="G46" i="4" s="1"/>
  <c r="I46" i="4" s="1"/>
  <c r="K46" i="4" s="1"/>
  <c r="J45" i="4"/>
  <c r="E45" i="4"/>
  <c r="G45" i="4" s="1"/>
  <c r="I45" i="4" s="1"/>
  <c r="J44" i="4"/>
  <c r="E44" i="4"/>
  <c r="G44" i="4" s="1"/>
  <c r="I44" i="4" s="1"/>
  <c r="J43" i="4"/>
  <c r="E43" i="4"/>
  <c r="G43" i="4" s="1"/>
  <c r="I43" i="4" s="1"/>
  <c r="J42" i="4"/>
  <c r="E42" i="4"/>
  <c r="G42" i="4" s="1"/>
  <c r="I42" i="4" s="1"/>
  <c r="J41" i="4"/>
  <c r="E41" i="4"/>
  <c r="G41" i="4" s="1"/>
  <c r="I41" i="4" s="1"/>
  <c r="J40" i="4"/>
  <c r="E40" i="4"/>
  <c r="G40" i="4" s="1"/>
  <c r="I40" i="4" s="1"/>
  <c r="J39" i="4"/>
  <c r="E39" i="4"/>
  <c r="G39" i="4" s="1"/>
  <c r="I39" i="4" s="1"/>
  <c r="J38" i="4"/>
  <c r="E38" i="4"/>
  <c r="G38" i="4" s="1"/>
  <c r="I38" i="4" s="1"/>
  <c r="J37" i="4"/>
  <c r="E37" i="4"/>
  <c r="G37" i="4" s="1"/>
  <c r="I37" i="4" s="1"/>
  <c r="J36" i="4"/>
  <c r="E36" i="4"/>
  <c r="G36" i="4" s="1"/>
  <c r="I36" i="4" s="1"/>
  <c r="J35" i="4"/>
  <c r="E35" i="4"/>
  <c r="G35" i="4" s="1"/>
  <c r="I35" i="4" s="1"/>
  <c r="J34" i="4"/>
  <c r="E34" i="4"/>
  <c r="J33" i="4"/>
  <c r="E33" i="4"/>
  <c r="G33" i="4" s="1"/>
  <c r="I33" i="4" s="1"/>
  <c r="J32" i="4"/>
  <c r="E32" i="4"/>
  <c r="G32" i="4" s="1"/>
  <c r="I32" i="4" s="1"/>
  <c r="J31" i="4"/>
  <c r="E31" i="4"/>
  <c r="G31" i="4" s="1"/>
  <c r="I31" i="4" s="1"/>
  <c r="J30" i="4"/>
  <c r="E30" i="4"/>
  <c r="G30" i="4" s="1"/>
  <c r="I30" i="4" s="1"/>
  <c r="J29" i="4"/>
  <c r="E29" i="4"/>
  <c r="G29" i="4" s="1"/>
  <c r="I29" i="4" s="1"/>
  <c r="J28" i="4"/>
  <c r="E28" i="4"/>
  <c r="L10" i="2" s="1"/>
  <c r="J27" i="4"/>
  <c r="E27" i="4"/>
  <c r="G27" i="4" s="1"/>
  <c r="I27" i="4" s="1"/>
  <c r="J26" i="4"/>
  <c r="E26" i="4"/>
  <c r="G26" i="4" s="1"/>
  <c r="I26" i="4" s="1"/>
  <c r="K26" i="4" s="1"/>
  <c r="J25" i="4"/>
  <c r="E25" i="4"/>
  <c r="G25" i="4" s="1"/>
  <c r="I25" i="4" s="1"/>
  <c r="J24" i="4"/>
  <c r="E24" i="4"/>
  <c r="G24" i="4" s="1"/>
  <c r="I24" i="4" s="1"/>
  <c r="J23" i="4"/>
  <c r="E23" i="4"/>
  <c r="G23" i="4" s="1"/>
  <c r="I23" i="4" s="1"/>
  <c r="J22" i="4"/>
  <c r="E22" i="4"/>
  <c r="G22" i="4" s="1"/>
  <c r="I22" i="4" s="1"/>
  <c r="J21" i="4"/>
  <c r="I21" i="4"/>
  <c r="L21" i="4" s="1"/>
  <c r="G21" i="4"/>
  <c r="E21" i="4"/>
  <c r="J20" i="4"/>
  <c r="E20" i="4"/>
  <c r="G20" i="4" s="1"/>
  <c r="I20" i="4" s="1"/>
  <c r="J19" i="4"/>
  <c r="E19" i="4"/>
  <c r="G19" i="4" s="1"/>
  <c r="I19" i="4" s="1"/>
  <c r="J18" i="4"/>
  <c r="E18" i="4"/>
  <c r="G18" i="4" s="1"/>
  <c r="I18" i="4" s="1"/>
  <c r="J17" i="4"/>
  <c r="E17" i="4"/>
  <c r="G17" i="4" s="1"/>
  <c r="I17" i="4" s="1"/>
  <c r="J16" i="4"/>
  <c r="E16" i="4"/>
  <c r="G16" i="4" s="1"/>
  <c r="I16" i="4" s="1"/>
  <c r="J15" i="4"/>
  <c r="E15" i="4"/>
  <c r="G15" i="4" s="1"/>
  <c r="I15" i="4" s="1"/>
  <c r="J14" i="4"/>
  <c r="E14" i="4"/>
  <c r="J13" i="4"/>
  <c r="G13" i="4"/>
  <c r="I13" i="4" s="1"/>
  <c r="E13" i="4"/>
  <c r="J12" i="4"/>
  <c r="E12" i="4"/>
  <c r="G12" i="4" s="1"/>
  <c r="I12" i="4" s="1"/>
  <c r="J11" i="4"/>
  <c r="E11" i="4"/>
  <c r="G11" i="4" s="1"/>
  <c r="I11" i="4" s="1"/>
  <c r="J10" i="4"/>
  <c r="E10" i="4"/>
  <c r="G10" i="4" s="1"/>
  <c r="I10" i="4" s="1"/>
  <c r="J9" i="4"/>
  <c r="E9" i="4"/>
  <c r="D8" i="3" s="1"/>
  <c r="J8" i="4"/>
  <c r="E8" i="4"/>
  <c r="D7" i="3" s="1"/>
  <c r="J7" i="4"/>
  <c r="E7" i="4"/>
  <c r="G7" i="4" s="1"/>
  <c r="I7" i="4" s="1"/>
  <c r="J6" i="4"/>
  <c r="E6" i="4"/>
  <c r="G6" i="4" s="1"/>
  <c r="I6" i="4" s="1"/>
  <c r="K6" i="4" s="1"/>
  <c r="I8" i="3"/>
  <c r="C8" i="3"/>
  <c r="I7" i="3"/>
  <c r="C7" i="3"/>
  <c r="I6" i="3"/>
  <c r="C6" i="3"/>
  <c r="I5" i="3"/>
  <c r="C5" i="3"/>
  <c r="N16" i="2"/>
  <c r="L16" i="2"/>
  <c r="B16" i="2"/>
  <c r="N15" i="2"/>
  <c r="L15" i="2"/>
  <c r="B15" i="2"/>
  <c r="N14" i="2"/>
  <c r="B14" i="2"/>
  <c r="N13" i="2"/>
  <c r="B13" i="2"/>
  <c r="N12" i="2"/>
  <c r="B12" i="2"/>
  <c r="N11" i="2"/>
  <c r="L11" i="2"/>
  <c r="B11" i="2"/>
  <c r="N10" i="2"/>
  <c r="B10" i="2"/>
  <c r="N9" i="2"/>
  <c r="L9" i="2"/>
  <c r="B9" i="2"/>
  <c r="N8" i="2"/>
  <c r="L8" i="2"/>
  <c r="B8" i="2"/>
  <c r="N7" i="2"/>
  <c r="B7" i="2"/>
  <c r="N6" i="2"/>
  <c r="B6" i="2"/>
  <c r="N5" i="2"/>
  <c r="B5" i="2"/>
  <c r="K41" i="4" l="1"/>
  <c r="M41" i="4" s="1"/>
  <c r="L41" i="4"/>
  <c r="G28" i="4"/>
  <c r="I28" i="4" s="1"/>
  <c r="D5" i="3"/>
  <c r="B5" i="3" s="1"/>
  <c r="K21" i="4"/>
  <c r="G8" i="4"/>
  <c r="I8" i="4" s="1"/>
  <c r="C5" i="2" s="1"/>
  <c r="D6" i="3"/>
  <c r="B6" i="3" s="1"/>
  <c r="G9" i="4"/>
  <c r="I9" i="4" s="1"/>
  <c r="B8" i="3"/>
  <c r="L6" i="2"/>
  <c r="L7" i="2"/>
  <c r="L14" i="2"/>
  <c r="M14" i="2" s="1"/>
  <c r="N17" i="2"/>
  <c r="B7" i="3"/>
  <c r="L5" i="2"/>
  <c r="B17" i="2"/>
  <c r="M21" i="4"/>
  <c r="J6" i="1"/>
  <c r="L13" i="2"/>
  <c r="M13" i="2" s="1"/>
  <c r="L12" i="2"/>
  <c r="L13" i="4"/>
  <c r="K13" i="4"/>
  <c r="M13" i="4" s="1"/>
  <c r="E6" i="3"/>
  <c r="L7" i="4"/>
  <c r="K7" i="4"/>
  <c r="L43" i="4"/>
  <c r="K43" i="4"/>
  <c r="M43" i="4" s="1"/>
  <c r="L15" i="4"/>
  <c r="K15" i="4"/>
  <c r="M15" i="4" s="1"/>
  <c r="L37" i="4"/>
  <c r="K37" i="4"/>
  <c r="M37" i="4" s="1"/>
  <c r="L16" i="4"/>
  <c r="K16" i="4"/>
  <c r="M16" i="4" s="1"/>
  <c r="L9" i="4"/>
  <c r="K9" i="4"/>
  <c r="M9" i="4" s="1"/>
  <c r="E8" i="3"/>
  <c r="L45" i="4"/>
  <c r="K45" i="4"/>
  <c r="L17" i="4"/>
  <c r="K17" i="4"/>
  <c r="M17" i="4" s="1"/>
  <c r="K24" i="4"/>
  <c r="L24" i="4"/>
  <c r="M24" i="4" s="1"/>
  <c r="C16" i="2"/>
  <c r="L51" i="4"/>
  <c r="K51" i="4"/>
  <c r="M51" i="4" s="1"/>
  <c r="L18" i="4"/>
  <c r="K18" i="4"/>
  <c r="C8" i="2"/>
  <c r="M8" i="2" s="1"/>
  <c r="L52" i="4"/>
  <c r="K52" i="4"/>
  <c r="M52" i="4" s="1"/>
  <c r="L31" i="4"/>
  <c r="K31" i="4"/>
  <c r="M31" i="4" s="1"/>
  <c r="C11" i="2"/>
  <c r="L35" i="4"/>
  <c r="K35" i="4"/>
  <c r="M35" i="4" s="1"/>
  <c r="L36" i="4"/>
  <c r="K36" i="4"/>
  <c r="L23" i="4"/>
  <c r="K23" i="4"/>
  <c r="M23" i="4" s="1"/>
  <c r="L38" i="4"/>
  <c r="K38" i="4"/>
  <c r="C13" i="2"/>
  <c r="L25" i="4"/>
  <c r="K25" i="4"/>
  <c r="M25" i="4" s="1"/>
  <c r="L39" i="4"/>
  <c r="K39" i="4"/>
  <c r="M39" i="4" s="1"/>
  <c r="L40" i="4"/>
  <c r="K40" i="4"/>
  <c r="M40" i="4" s="1"/>
  <c r="L32" i="4"/>
  <c r="K32" i="4"/>
  <c r="M32" i="4" s="1"/>
  <c r="L11" i="4"/>
  <c r="K11" i="4"/>
  <c r="M11" i="4" s="1"/>
  <c r="C6" i="2"/>
  <c r="C15" i="2"/>
  <c r="L47" i="4"/>
  <c r="K47" i="4"/>
  <c r="L12" i="4"/>
  <c r="E7" i="3"/>
  <c r="K12" i="4"/>
  <c r="M12" i="4" s="1"/>
  <c r="L33" i="4"/>
  <c r="K33" i="4"/>
  <c r="K42" i="4"/>
  <c r="C14" i="2"/>
  <c r="L42" i="4"/>
  <c r="L49" i="4"/>
  <c r="K49" i="4"/>
  <c r="M49" i="4" s="1"/>
  <c r="K22" i="4"/>
  <c r="L22" i="4"/>
  <c r="C9" i="2"/>
  <c r="M9" i="2" s="1"/>
  <c r="L29" i="4"/>
  <c r="K29" i="4"/>
  <c r="K44" i="4"/>
  <c r="M44" i="4" s="1"/>
  <c r="L44" i="4"/>
  <c r="L19" i="4"/>
  <c r="K19" i="4"/>
  <c r="M19" i="4" s="1"/>
  <c r="L53" i="4"/>
  <c r="K53" i="4"/>
  <c r="M53" i="4" s="1"/>
  <c r="L20" i="4"/>
  <c r="K20" i="4"/>
  <c r="M20" i="4" s="1"/>
  <c r="C10" i="2"/>
  <c r="L27" i="4"/>
  <c r="K27" i="4"/>
  <c r="F10" i="2" s="1"/>
  <c r="K10" i="4"/>
  <c r="M10" i="4" s="1"/>
  <c r="K30" i="4"/>
  <c r="M30" i="4" s="1"/>
  <c r="K50" i="4"/>
  <c r="L10" i="4"/>
  <c r="L30" i="4"/>
  <c r="L50" i="4"/>
  <c r="I16" i="2" s="1"/>
  <c r="G14" i="4"/>
  <c r="I14" i="4" s="1"/>
  <c r="G34" i="4"/>
  <c r="I34" i="4" s="1"/>
  <c r="K8" i="4"/>
  <c r="K28" i="4"/>
  <c r="K48" i="4"/>
  <c r="L28" i="4"/>
  <c r="L48" i="4"/>
  <c r="C10" i="6"/>
  <c r="B10" i="6" s="1"/>
  <c r="L6" i="4"/>
  <c r="L26" i="4"/>
  <c r="L46" i="4"/>
  <c r="I15" i="2" s="1"/>
  <c r="M5" i="2" l="1"/>
  <c r="I14" i="2"/>
  <c r="L17" i="2"/>
  <c r="M33" i="4"/>
  <c r="L8" i="4"/>
  <c r="M8" i="4" s="1"/>
  <c r="M48" i="4"/>
  <c r="M46" i="4"/>
  <c r="I10" i="2"/>
  <c r="F15" i="2"/>
  <c r="M28" i="4"/>
  <c r="M42" i="4"/>
  <c r="M29" i="4"/>
  <c r="M36" i="4"/>
  <c r="M45" i="4"/>
  <c r="G8" i="3"/>
  <c r="H8" i="3" s="1"/>
  <c r="M27" i="4"/>
  <c r="G7" i="3"/>
  <c r="H7" i="3" s="1"/>
  <c r="M15" i="2"/>
  <c r="G15" i="2"/>
  <c r="H15" i="2" s="1"/>
  <c r="D15" i="2"/>
  <c r="E15" i="2" s="1"/>
  <c r="D11" i="2"/>
  <c r="E11" i="2" s="1"/>
  <c r="L34" i="4"/>
  <c r="I12" i="2" s="1"/>
  <c r="K34" i="4"/>
  <c r="F12" i="2" s="1"/>
  <c r="C12" i="2"/>
  <c r="M47" i="4"/>
  <c r="J15" i="2" s="1"/>
  <c r="K15" i="2" s="1"/>
  <c r="C7" i="2"/>
  <c r="C17" i="2" s="1"/>
  <c r="L14" i="4"/>
  <c r="I7" i="2" s="1"/>
  <c r="K14" i="4"/>
  <c r="F7" i="2" s="1"/>
  <c r="E5" i="3"/>
  <c r="M26" i="4"/>
  <c r="J11" i="2"/>
  <c r="K11" i="2" s="1"/>
  <c r="F5" i="2"/>
  <c r="G5" i="2" s="1"/>
  <c r="H5" i="2" s="1"/>
  <c r="D9" i="2"/>
  <c r="E9" i="2" s="1"/>
  <c r="F7" i="3"/>
  <c r="F9" i="2"/>
  <c r="G9" i="2" s="1"/>
  <c r="H9" i="2" s="1"/>
  <c r="K6" i="2"/>
  <c r="D6" i="2"/>
  <c r="E6" i="2" s="1"/>
  <c r="M11" i="2"/>
  <c r="F6" i="3"/>
  <c r="G10" i="2"/>
  <c r="H10" i="2" s="1"/>
  <c r="M10" i="2"/>
  <c r="D10" i="2"/>
  <c r="E10" i="2" s="1"/>
  <c r="J6" i="2"/>
  <c r="I9" i="2"/>
  <c r="M22" i="4"/>
  <c r="J9" i="2" s="1"/>
  <c r="K9" i="2" s="1"/>
  <c r="I11" i="2"/>
  <c r="D13" i="2"/>
  <c r="E13" i="2" s="1"/>
  <c r="M7" i="4"/>
  <c r="F5" i="3"/>
  <c r="I5" i="2"/>
  <c r="I6" i="2"/>
  <c r="D14" i="2"/>
  <c r="E14" i="2" s="1"/>
  <c r="F13" i="2"/>
  <c r="G13" i="2" s="1"/>
  <c r="H13" i="2" s="1"/>
  <c r="D16" i="2"/>
  <c r="E16" i="2" s="1"/>
  <c r="M16" i="2"/>
  <c r="M6" i="4"/>
  <c r="F16" i="2"/>
  <c r="G16" i="2" s="1"/>
  <c r="H16" i="2" s="1"/>
  <c r="M6" i="2"/>
  <c r="I13" i="2"/>
  <c r="D5" i="2"/>
  <c r="F14" i="2"/>
  <c r="G14" i="2" s="1"/>
  <c r="H14" i="2" s="1"/>
  <c r="M38" i="4"/>
  <c r="J13" i="2" s="1"/>
  <c r="K13" i="2" s="1"/>
  <c r="F8" i="2"/>
  <c r="G8" i="2" s="1"/>
  <c r="H8" i="2" s="1"/>
  <c r="D8" i="2"/>
  <c r="E8" i="2" s="1"/>
  <c r="F8" i="3"/>
  <c r="F11" i="2"/>
  <c r="G11" i="2" s="1"/>
  <c r="H11" i="2" s="1"/>
  <c r="F6" i="2"/>
  <c r="G6" i="2" s="1"/>
  <c r="H6" i="2" s="1"/>
  <c r="I8" i="2"/>
  <c r="M50" i="4"/>
  <c r="J16" i="2" s="1"/>
  <c r="K16" i="2" s="1"/>
  <c r="M18" i="4"/>
  <c r="J8" i="2" s="1"/>
  <c r="K8" i="2" s="1"/>
  <c r="J14" i="2" l="1"/>
  <c r="K14" i="2" s="1"/>
  <c r="J10" i="2"/>
  <c r="K10" i="2" s="1"/>
  <c r="M17" i="2"/>
  <c r="J5" i="2"/>
  <c r="F17" i="2"/>
  <c r="G7" i="2"/>
  <c r="D7" i="2"/>
  <c r="E7" i="2" s="1"/>
  <c r="H7" i="2"/>
  <c r="M7" i="2"/>
  <c r="C7" i="6"/>
  <c r="B7" i="6" s="1"/>
  <c r="A6" i="1"/>
  <c r="E5" i="2"/>
  <c r="G6" i="3"/>
  <c r="H6" i="3" s="1"/>
  <c r="C8" i="6"/>
  <c r="B8" i="6" s="1"/>
  <c r="G12" i="2"/>
  <c r="H12" i="2" s="1"/>
  <c r="D12" i="2"/>
  <c r="E12" i="2" s="1"/>
  <c r="M12" i="2"/>
  <c r="I17" i="2"/>
  <c r="M34" i="4"/>
  <c r="J12" i="2" s="1"/>
  <c r="K12" i="2" s="1"/>
  <c r="M14" i="4"/>
  <c r="J7" i="2" s="1"/>
  <c r="K7" i="2" s="1"/>
  <c r="D17" i="2" l="1"/>
  <c r="E17" i="2" s="1"/>
  <c r="D6" i="1"/>
  <c r="G5" i="3"/>
  <c r="H5" i="3" s="1"/>
  <c r="G17" i="2"/>
  <c r="H17" i="2" s="1"/>
  <c r="G6" i="1"/>
  <c r="J17" i="2"/>
  <c r="K17" i="2" s="1"/>
  <c r="K5" i="2"/>
  <c r="C9" i="6" l="1"/>
  <c r="B9" i="6" s="1"/>
  <c r="B4" i="6" s="1"/>
  <c r="M5" i="1" s="1"/>
</calcChain>
</file>

<file path=xl/sharedStrings.xml><?xml version="1.0" encoding="utf-8"?>
<sst xmlns="http://schemas.openxmlformats.org/spreadsheetml/2006/main" count="329" uniqueCount="157">
  <si>
    <t>Northstar Commerce | Executive Dashboard</t>
  </si>
  <si>
    <t>Base case | FY 2026 | Synthetic portfolio sample | Refresh: 2026-07-18</t>
  </si>
  <si>
    <t>NET REVENUE</t>
  </si>
  <si>
    <t>VS PLAN</t>
  </si>
  <si>
    <t>CONTRIBUTION PROFIT</t>
  </si>
  <si>
    <t>REPEAT MIX</t>
  </si>
  <si>
    <t>Revenue outpaces plan as conversion improves</t>
  </si>
  <si>
    <t>Email leads conversion; search remains the largest scalable pool</t>
  </si>
  <si>
    <t>WHAT CHANGED
Conversion gains, especially in email and search, moved revenue above plan without deeper discounting.</t>
  </si>
  <si>
    <t>WHY IT MATTERS
Repeat buyers carry better unit economics, so lifecycle investment expands contribution profit.</t>
  </si>
  <si>
    <t>NEXT DECISION
Approve a 90-day test plan with contribution-margin guardrails and a week-6 economics review.</t>
  </si>
  <si>
    <t>Northstar Commerce | Monthly Model</t>
  </si>
  <si>
    <t>Actual vs plan, unit economics, and repeat-mix trend. Formulas reconcile to Source Data.</t>
  </si>
  <si>
    <t>Month</t>
  </si>
  <si>
    <t>Plan revenue</t>
  </si>
  <si>
    <t>Actual revenue</t>
  </si>
  <si>
    <t>Var $</t>
  </si>
  <si>
    <t>Var %</t>
  </si>
  <si>
    <t>COGS</t>
  </si>
  <si>
    <t>Gross profit</t>
  </si>
  <si>
    <t>Gross margin</t>
  </si>
  <si>
    <t>Marketing</t>
  </si>
  <si>
    <t>Contribution profit</t>
  </si>
  <si>
    <t>Contribution margin</t>
  </si>
  <si>
    <t>Orders</t>
  </si>
  <si>
    <t>AOV</t>
  </si>
  <si>
    <t>Repeat mix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</si>
  <si>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</si>
  <si>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</si>
  <si>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</si>
  <si>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</si>
  <si>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</si>
  <si>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</si>
  <si>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</si>
  <si>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</si>
  <si>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</si>
  <si>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</si>
  <si>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</si>
  <si>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</si>
  <si>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FY 2026</t>
  </si>
  <si>
    <t>Northstar Commerce | Channel Model</t>
  </si>
  <si>
    <t>Channel economics are formula-linked to Source Data; conversion and contribution guide budget allocation.</t>
  </si>
  <si>
    <t>Channel</t>
  </si>
  <si>
    <t>Conversion rate</t>
  </si>
  <si>
    <t>Sessions</t>
  </si>
  <si>
    <t>Net revenue</t>
  </si>
  <si>
    <t>Search</t>
  </si>
  <si>
    <t>Paid Social</t>
  </si>
  <si>
    <t>Email</t>
  </si>
  <si>
    <t>Affiliate</t>
  </si>
  <si>
    <t>Decision cue</t>
  </si>
  <si>
    <t>Interpretation</t>
  </si>
  <si>
    <t>Lifecycle</t>
  </si>
  <si>
    <t>Email combines the highest conversion and repeat mix; protect lifecycle capacity.</t>
  </si>
  <si>
    <t>Rebalance bids toward high-contribution categories instead of buying clicks indiscriminately.</t>
  </si>
  <si>
    <t>Scale only when contribution margin clears the guardrail.</t>
  </si>
  <si>
    <t>Use as an incremental channel with controlled commission terms.</t>
  </si>
  <si>
    <t>Northstar Commerce | Source Data</t>
  </si>
  <si>
    <t>Synthetic monthly channel data. Blue columns are formulas; yellow columns are editable source inputs.</t>
  </si>
  <si>
    <t>Gross revenue</t>
  </si>
  <si>
    <t>Refund rate</t>
  </si>
  <si>
    <t>COGS rate</t>
  </si>
  <si>
    <t>Marketing spend</t>
  </si>
  <si>
    <t>Northstar Commerce | Assumptions</t>
  </si>
  <si>
    <t>Yellow cells are editable inputs. All data is synthetic and created solely for portfolio demonstration.</t>
  </si>
  <si>
    <t>Marketing rate</t>
  </si>
  <si>
    <t>Model note</t>
  </si>
  <si>
    <t>Revenue plan (USD)</t>
  </si>
  <si>
    <t>Synthetic operating assumption</t>
  </si>
  <si>
    <t>Model policy</t>
  </si>
  <si>
    <t>Value</t>
  </si>
  <si>
    <t>Owner</t>
  </si>
  <si>
    <t>As of</t>
  </si>
  <si>
    <t>Source type</t>
  </si>
  <si>
    <t>Source</t>
  </si>
  <si>
    <t>Notes</t>
  </si>
  <si>
    <t>Reporting currency</t>
  </si>
  <si>
    <t>USD</t>
  </si>
  <si>
    <t>Finance</t>
  </si>
  <si>
    <t>2026-07-18</t>
  </si>
  <si>
    <t>Synthetic</t>
  </si>
  <si>
    <t>Portfolio model</t>
  </si>
  <si>
    <t>No external client data</t>
  </si>
  <si>
    <t>Scenario</t>
  </si>
  <si>
    <t>Base case</t>
  </si>
  <si>
    <t>Growth</t>
  </si>
  <si>
    <t>Editable assumption set</t>
  </si>
  <si>
    <t>Refresh cadence</t>
  </si>
  <si>
    <t>Monthly</t>
  </si>
  <si>
    <t>Analytics</t>
  </si>
  <si>
    <t>Replace Source Data rows to refresh</t>
  </si>
  <si>
    <t>Northstar Commerce | Model Checks</t>
  </si>
  <si>
    <t>A PASS status means all formula ties and reasonableness checks below are within tolerance.</t>
  </si>
  <si>
    <t>MODEL STATUS</t>
  </si>
  <si>
    <t>Check</t>
  </si>
  <si>
    <t>Status</t>
  </si>
  <si>
    <t>Delta</t>
  </si>
  <si>
    <t>Tolerance</t>
  </si>
  <si>
    <t>Where to fix</t>
  </si>
  <si>
    <t>Monthly revenue ties to source</t>
  </si>
  <si>
    <t>Source Data / Monthly Model</t>
  </si>
  <si>
    <t>Alternative cuts must reconcile</t>
  </si>
  <si>
    <t>Channel revenue ties to monthly</t>
  </si>
  <si>
    <t>Channel Model</t>
  </si>
  <si>
    <t>Channel and monthly views agree</t>
  </si>
  <si>
    <t>Contribution profit ties</t>
  </si>
  <si>
    <t>Channel Model / Monthly Model</t>
  </si>
  <si>
    <t>Profit bridge reconciles</t>
  </si>
  <si>
    <t>No negative order counts</t>
  </si>
  <si>
    <t>Source Data</t>
  </si>
  <si>
    <t>Orders must be non-negative</t>
  </si>
  <si>
    <t>Conversion within 0-20%</t>
  </si>
  <si>
    <t>Reasonableness bound</t>
  </si>
  <si>
    <t>Refund rate within 0-15%</t>
  </si>
  <si>
    <t>All required assumptions populated</t>
  </si>
  <si>
    <t>Assumptions</t>
  </si>
  <si>
    <t>Eight channel inputs plus 12 monthly plans</t>
  </si>
  <si>
    <t>Northstar Commerce | Data Dictionary</t>
  </si>
  <si>
    <t>Definitions, ownership, and refresh notes for a model another analyst can maintain.</t>
  </si>
  <si>
    <t>Field</t>
  </si>
  <si>
    <t>Definition</t>
  </si>
  <si>
    <t>Unit / type</t>
  </si>
  <si>
    <t>Refresh rule</t>
  </si>
  <si>
    <t>Qualified channel visits in the reporting month</t>
  </si>
  <si>
    <t>Count</t>
  </si>
  <si>
    <t>Replace in Source Data</t>
  </si>
  <si>
    <t>Orders divided by sessions</t>
  </si>
  <si>
    <t>%</t>
  </si>
  <si>
    <t>Formula: sessions x conversion rate</t>
  </si>
  <si>
    <t>Calculated</t>
  </si>
  <si>
    <t>Gross revenue per order before refunds</t>
  </si>
  <si>
    <t>USD/order</t>
  </si>
  <si>
    <t>Gross revenue after refund allowance</t>
  </si>
  <si>
    <t>Net revenue x channel COGS rate</t>
  </si>
  <si>
    <t>Calculated from Assumptions</t>
  </si>
  <si>
    <t>Net revenue x channel marketing rate</t>
  </si>
  <si>
    <t>Net revenue minus COGS and marketing spend</t>
  </si>
  <si>
    <t>Share of orders placed by repeat customers</t>
  </si>
  <si>
    <t>Revenue plan</t>
  </si>
  <si>
    <t>Monthly management target</t>
  </si>
  <si>
    <t>Edit in Assumptions</t>
  </si>
  <si>
    <t>Refresh sequence</t>
  </si>
  <si>
    <t>Action</t>
  </si>
  <si>
    <t>Control</t>
  </si>
  <si>
    <t>1</t>
  </si>
  <si>
    <t>Paste new channel-month inputs into Source Data yellow columns</t>
  </si>
  <si>
    <t>No formula columns overwritten</t>
  </si>
  <si>
    <t>2</t>
  </si>
  <si>
    <t>Review Assumptions and monthly plan</t>
  </si>
  <si>
    <t>Yellow input cells only</t>
  </si>
  <si>
    <t>3</t>
  </si>
  <si>
    <t>Confirm Checks shows PASS</t>
  </si>
  <si>
    <t>All seven checks pass</t>
  </si>
  <si>
    <t>4</t>
  </si>
  <si>
    <t>Publish Dashboard PDF or screenshot</t>
  </si>
  <si>
    <t>Business lead</t>
  </si>
  <si>
    <t>As-of date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</si>
</sst>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\$#,##0"/>
    <numFmt numFmtId="178" formatCode="\$0.00"/>
    <numFmt numFmtId="179" formatCode="0.0%;[Red]\(0.0%\)"/>
    <numFmt numFmtId="180" formatCode="\$0.0,,&quot;M&quot;"/>
    <numFmt numFmtId="181" formatCode="0.000"/>
  </numFmts>
  <fonts count="14">
    <font>
      <sz val="11"/>
      <name val="Carlito"/>
    </font>
    <font>
      <b/>
      <sz val="22"/>
      <color rgb="FFFFFFFF"/>
      <name val="Aptos Display"/>
      <family val="2"/>
    </font>
    <font>
      <i/>
      <sz val="9"/>
      <color rgb="FF637083"/>
      <name val="Aptos"/>
      <family val="2"/>
    </font>
    <font>
      <b/>
      <sz val="10"/>
      <color rgb="FFFFFFFF"/>
      <name val="Aptos"/>
      <family val="2"/>
    </font>
    <font>
      <sz val="9"/>
      <color rgb="FF17212B"/>
      <name val="Aptos"/>
      <family val="2"/>
    </font>
    <font>
      <b/>
      <sz val="9"/>
      <color rgb="FFFFFFFF"/>
      <name val="Aptos"/>
      <family val="2"/>
    </font>
    <font>
      <sz val="10"/>
      <color rgb="FF17212B"/>
      <name val="Carlito"/>
    </font>
    <font>
      <b/>
      <sz val="23"/>
      <color rgb="FFFFFFFF"/>
      <name val="Aptos Display"/>
      <family val="2"/>
    </font>
    <font>
      <b/>
      <sz val="13"/>
      <color rgb="FF16805C"/>
      <name val="Aptos"/>
      <family val="2"/>
    </font>
    <font>
      <b/>
      <sz val="12"/>
      <color rgb="FF17212B"/>
      <name val="Carlito"/>
    </font>
    <font>
      <b/>
      <sz val="14"/>
      <color rgb="FFFFFFFF"/>
      <name val="Carlito"/>
    </font>
    <font>
      <b/>
      <sz val="9"/>
      <color rgb="FF16805C"/>
      <name val="Aptos"/>
      <family val="2"/>
    </font>
    <font>
      <sz val="11"/>
      <name val="Carlito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17324D"/>
      </patternFill>
    </fill>
    <fill>
      <patternFill patternType="solid">
        <fgColor rgb="FFF4F6F8"/>
      </patternFill>
    </fill>
    <fill>
      <patternFill patternType="solid">
        <fgColor rgb="FFFFF7D6"/>
      </patternFill>
    </fill>
    <fill>
      <patternFill patternType="solid">
        <fgColor rgb="FFEAF2FF"/>
      </patternFill>
    </fill>
    <fill>
      <patternFill patternType="solid">
        <fgColor rgb="FFFFFFFF"/>
      </patternFill>
    </fill>
    <fill>
      <patternFill patternType="solid">
        <fgColor rgb="FF3D82F6"/>
      </patternFill>
    </fill>
    <fill>
      <patternFill patternType="solid">
        <fgColor rgb="FF16805C"/>
      </patternFill>
    </fill>
    <fill>
      <patternFill patternType="solid">
        <fgColor rgb="FFB67A16"/>
      </patternFill>
    </fill>
  </fills>
  <borders count="2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9E0E7"/>
      </left>
      <right/>
      <top style="thin">
        <color rgb="FFD9E0E7"/>
      </top>
      <bottom/>
      <diagonal/>
    </border>
    <border>
      <left/>
      <right style="thin">
        <color rgb="FFD9E0E7"/>
      </right>
      <top style="thin">
        <color rgb="FFD9E0E7"/>
      </top>
      <bottom/>
      <diagonal/>
    </border>
    <border>
      <left style="thin">
        <color rgb="FFD9E0E7"/>
      </left>
      <right/>
      <top/>
      <bottom/>
      <diagonal/>
    </border>
    <border>
      <left/>
      <right style="thin">
        <color rgb="FFD9E0E7"/>
      </right>
      <top/>
      <bottom/>
      <diagonal/>
    </border>
    <border>
      <left style="thin">
        <color rgb="FFD9E0E7"/>
      </left>
      <right/>
      <top/>
      <bottom style="thin">
        <color rgb="FFD9E0E7"/>
      </bottom>
      <diagonal/>
    </border>
    <border>
      <left/>
      <right style="thin">
        <color rgb="FFD9E0E7"/>
      </right>
      <top/>
      <bottom style="thin">
        <color rgb="FFD9E0E7"/>
      </bottom>
      <diagonal/>
    </border>
    <border>
      <left/>
      <right/>
      <top style="thin">
        <color rgb="FFD9E0E7"/>
      </top>
      <bottom/>
      <diagonal/>
    </border>
    <border>
      <left/>
      <right/>
      <top/>
      <bottom style="thin">
        <color rgb="FFD9E0E7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176" fontId="4" fillId="4" borderId="0" xfId="1" applyNumberFormat="1" applyFont="1" applyFill="1" applyAlignment="1">
      <alignment vertical="center"/>
    </xf>
    <xf numFmtId="177" fontId="4" fillId="4" borderId="0" xfId="1" applyNumberFormat="1" applyFont="1" applyFill="1" applyAlignment="1">
      <alignment vertical="center"/>
    </xf>
    <xf numFmtId="3" fontId="4" fillId="4" borderId="0" xfId="1" applyNumberFormat="1" applyFont="1" applyFill="1" applyAlignment="1">
      <alignment vertical="center"/>
    </xf>
    <xf numFmtId="3" fontId="4" fillId="5" borderId="0" xfId="1" applyNumberFormat="1" applyFont="1" applyFill="1" applyAlignment="1">
      <alignment vertical="center"/>
    </xf>
    <xf numFmtId="178" fontId="4" fillId="4" borderId="0" xfId="1" applyNumberFormat="1" applyFont="1" applyFill="1" applyAlignment="1">
      <alignment vertical="center"/>
    </xf>
    <xf numFmtId="177" fontId="4" fillId="5" borderId="0" xfId="1" applyNumberFormat="1" applyFont="1" applyFill="1" applyAlignment="1">
      <alignment vertical="center"/>
    </xf>
    <xf numFmtId="176" fontId="4" fillId="5" borderId="0" xfId="1" applyNumberFormat="1" applyFont="1" applyFill="1" applyAlignment="1">
      <alignment vertical="center"/>
    </xf>
    <xf numFmtId="0" fontId="5" fillId="2" borderId="4" xfId="1" applyFont="1" applyFill="1" applyBorder="1" applyAlignment="1">
      <alignment vertical="center"/>
    </xf>
    <xf numFmtId="177" fontId="4" fillId="0" borderId="0" xfId="1" applyNumberFormat="1" applyFont="1" applyAlignment="1">
      <alignment vertical="center"/>
    </xf>
    <xf numFmtId="177" fontId="5" fillId="2" borderId="5" xfId="1" applyNumberFormat="1" applyFont="1" applyFill="1" applyBorder="1" applyAlignment="1">
      <alignment vertical="center"/>
    </xf>
    <xf numFmtId="179" fontId="4" fillId="0" borderId="0" xfId="1" applyNumberFormat="1" applyFont="1" applyAlignment="1">
      <alignment vertical="center"/>
    </xf>
    <xf numFmtId="179" fontId="5" fillId="2" borderId="5" xfId="1" applyNumberFormat="1" applyFont="1" applyFill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2" borderId="5" xfId="1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5" fillId="2" borderId="5" xfId="1" applyNumberFormat="1" applyFont="1" applyFill="1" applyBorder="1" applyAlignment="1">
      <alignment vertical="center"/>
    </xf>
    <xf numFmtId="178" fontId="4" fillId="0" borderId="0" xfId="1" applyNumberFormat="1" applyFont="1" applyAlignment="1">
      <alignment vertical="center"/>
    </xf>
    <xf numFmtId="178" fontId="5" fillId="2" borderId="5" xfId="1" applyNumberFormat="1" applyFont="1" applyFill="1" applyBorder="1" applyAlignment="1">
      <alignment vertical="center"/>
    </xf>
    <xf numFmtId="176" fontId="5" fillId="2" borderId="6" xfId="1" applyNumberFormat="1" applyFont="1" applyFill="1" applyBorder="1" applyAlignment="1">
      <alignment vertical="center"/>
    </xf>
    <xf numFmtId="0" fontId="6" fillId="3" borderId="0" xfId="1" applyFont="1" applyFill="1" applyAlignment="1">
      <alignment vertical="center" wrapText="1"/>
    </xf>
    <xf numFmtId="0" fontId="6" fillId="6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181" fontId="4" fillId="0" borderId="0" xfId="1" applyNumberFormat="1" applyFont="1" applyAlignment="1">
      <alignment vertical="center"/>
    </xf>
    <xf numFmtId="0" fontId="1" fillId="2" borderId="0" xfId="1" applyFont="1" applyFill="1" applyAlignment="1">
      <alignment horizontal="left" vertical="center"/>
    </xf>
    <xf numFmtId="0" fontId="2" fillId="3" borderId="0" xfId="1" applyFont="1" applyFill="1" applyAlignment="1">
      <alignment vertical="center"/>
    </xf>
    <xf numFmtId="0" fontId="5" fillId="7" borderId="7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180" fontId="7" fillId="7" borderId="10" xfId="1" applyNumberFormat="1" applyFont="1" applyFill="1" applyBorder="1" applyAlignment="1">
      <alignment horizontal="center" vertical="center"/>
    </xf>
    <xf numFmtId="180" fontId="7" fillId="7" borderId="11" xfId="1" applyNumberFormat="1" applyFont="1" applyFill="1" applyBorder="1" applyAlignment="1">
      <alignment horizontal="center" vertical="center"/>
    </xf>
    <xf numFmtId="180" fontId="7" fillId="7" borderId="12" xfId="1" applyNumberFormat="1" applyFont="1" applyFill="1" applyBorder="1" applyAlignment="1">
      <alignment horizontal="center" vertical="center"/>
    </xf>
    <xf numFmtId="180" fontId="7" fillId="7" borderId="13" xfId="1" applyNumberFormat="1" applyFont="1" applyFill="1" applyBorder="1" applyAlignment="1">
      <alignment horizontal="center" vertical="center"/>
    </xf>
    <xf numFmtId="180" fontId="7" fillId="7" borderId="14" xfId="1" applyNumberFormat="1" applyFont="1" applyFill="1" applyBorder="1" applyAlignment="1">
      <alignment horizontal="center" vertical="center"/>
    </xf>
    <xf numFmtId="180" fontId="7" fillId="7" borderId="15" xfId="1" applyNumberFormat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176" fontId="7" fillId="2" borderId="10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center" vertical="center"/>
    </xf>
    <xf numFmtId="176" fontId="7" fillId="2" borderId="12" xfId="1" applyNumberFormat="1" applyFont="1" applyFill="1" applyBorder="1" applyAlignment="1">
      <alignment horizontal="center" vertical="center"/>
    </xf>
    <xf numFmtId="176" fontId="7" fillId="2" borderId="13" xfId="1" applyNumberFormat="1" applyFont="1" applyFill="1" applyBorder="1" applyAlignment="1">
      <alignment horizontal="center" vertical="center"/>
    </xf>
    <xf numFmtId="176" fontId="7" fillId="2" borderId="14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center" vertical="center"/>
    </xf>
    <xf numFmtId="0" fontId="5" fillId="8" borderId="7" xfId="1" applyFont="1" applyFill="1" applyBorder="1" applyAlignment="1">
      <alignment horizontal="center" vertical="center"/>
    </xf>
    <xf numFmtId="0" fontId="5" fillId="8" borderId="8" xfId="1" applyFont="1" applyFill="1" applyBorder="1" applyAlignment="1">
      <alignment horizontal="center" vertical="center"/>
    </xf>
    <xf numFmtId="0" fontId="5" fillId="8" borderId="9" xfId="1" applyFont="1" applyFill="1" applyBorder="1" applyAlignment="1">
      <alignment horizontal="center" vertical="center"/>
    </xf>
    <xf numFmtId="180" fontId="7" fillId="8" borderId="10" xfId="1" applyNumberFormat="1" applyFont="1" applyFill="1" applyBorder="1" applyAlignment="1">
      <alignment horizontal="center" vertical="center"/>
    </xf>
    <xf numFmtId="180" fontId="7" fillId="8" borderId="11" xfId="1" applyNumberFormat="1" applyFont="1" applyFill="1" applyBorder="1" applyAlignment="1">
      <alignment horizontal="center" vertical="center"/>
    </xf>
    <xf numFmtId="180" fontId="7" fillId="8" borderId="12" xfId="1" applyNumberFormat="1" applyFont="1" applyFill="1" applyBorder="1" applyAlignment="1">
      <alignment horizontal="center" vertical="center"/>
    </xf>
    <xf numFmtId="180" fontId="7" fillId="8" borderId="13" xfId="1" applyNumberFormat="1" applyFont="1" applyFill="1" applyBorder="1" applyAlignment="1">
      <alignment horizontal="center" vertical="center"/>
    </xf>
    <xf numFmtId="180" fontId="7" fillId="8" borderId="14" xfId="1" applyNumberFormat="1" applyFont="1" applyFill="1" applyBorder="1" applyAlignment="1">
      <alignment horizontal="center" vertical="center"/>
    </xf>
    <xf numFmtId="180" fontId="7" fillId="8" borderId="15" xfId="1" applyNumberFormat="1" applyFont="1" applyFill="1" applyBorder="1" applyAlignment="1">
      <alignment horizontal="center" vertical="center"/>
    </xf>
    <xf numFmtId="0" fontId="5" fillId="9" borderId="7" xfId="1" applyFont="1" applyFill="1" applyBorder="1" applyAlignment="1">
      <alignment horizontal="center" vertical="center"/>
    </xf>
    <xf numFmtId="0" fontId="5" fillId="9" borderId="8" xfId="1" applyFont="1" applyFill="1" applyBorder="1" applyAlignment="1">
      <alignment horizontal="center" vertical="center"/>
    </xf>
    <xf numFmtId="0" fontId="5" fillId="9" borderId="9" xfId="1" applyFont="1" applyFill="1" applyBorder="1" applyAlignment="1">
      <alignment horizontal="center" vertical="center"/>
    </xf>
    <xf numFmtId="176" fontId="7" fillId="9" borderId="10" xfId="1" applyNumberFormat="1" applyFont="1" applyFill="1" applyBorder="1" applyAlignment="1">
      <alignment horizontal="center" vertical="center"/>
    </xf>
    <xf numFmtId="176" fontId="7" fillId="9" borderId="11" xfId="1" applyNumberFormat="1" applyFont="1" applyFill="1" applyBorder="1" applyAlignment="1">
      <alignment horizontal="center" vertical="center"/>
    </xf>
    <xf numFmtId="176" fontId="7" fillId="9" borderId="12" xfId="1" applyNumberFormat="1" applyFont="1" applyFill="1" applyBorder="1" applyAlignment="1">
      <alignment horizontal="center" vertical="center"/>
    </xf>
    <xf numFmtId="176" fontId="7" fillId="9" borderId="13" xfId="1" applyNumberFormat="1" applyFont="1" applyFill="1" applyBorder="1" applyAlignment="1">
      <alignment horizontal="center" vertical="center"/>
    </xf>
    <xf numFmtId="176" fontId="7" fillId="9" borderId="14" xfId="1" applyNumberFormat="1" applyFont="1" applyFill="1" applyBorder="1" applyAlignment="1">
      <alignment horizontal="center" vertical="center"/>
    </xf>
    <xf numFmtId="176" fontId="7" fillId="9" borderId="15" xfId="1" applyNumberFormat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center" vertical="center" wrapText="1"/>
    </xf>
    <xf numFmtId="0" fontId="9" fillId="0" borderId="0" xfId="1" applyFont="1"/>
    <xf numFmtId="0" fontId="6" fillId="3" borderId="16" xfId="1" applyFont="1" applyFill="1" applyBorder="1" applyAlignment="1">
      <alignment horizontal="left" vertical="center" wrapText="1"/>
    </xf>
    <xf numFmtId="0" fontId="6" fillId="3" borderId="22" xfId="1" applyFont="1" applyFill="1" applyBorder="1" applyAlignment="1">
      <alignment horizontal="left" vertical="center" wrapText="1"/>
    </xf>
    <xf numFmtId="0" fontId="6" fillId="3" borderId="17" xfId="1" applyFont="1" applyFill="1" applyBorder="1" applyAlignment="1">
      <alignment horizontal="left" vertical="center" wrapText="1"/>
    </xf>
    <xf numFmtId="0" fontId="6" fillId="3" borderId="18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9" xfId="1" applyFont="1" applyFill="1" applyBorder="1" applyAlignment="1">
      <alignment horizontal="left" vertical="center" wrapText="1"/>
    </xf>
    <xf numFmtId="0" fontId="6" fillId="3" borderId="20" xfId="1" applyFont="1" applyFill="1" applyBorder="1" applyAlignment="1">
      <alignment horizontal="left" vertical="center" wrapText="1"/>
    </xf>
    <xf numFmtId="0" fontId="6" fillId="3" borderId="23" xfId="1" applyFont="1" applyFill="1" applyBorder="1" applyAlignment="1">
      <alignment horizontal="left" vertical="center" wrapText="1"/>
    </xf>
    <xf numFmtId="0" fontId="6" fillId="3" borderId="21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6" fillId="6" borderId="0" xfId="1" applyFont="1" applyFill="1" applyAlignment="1">
      <alignment vertical="center" wrapText="1"/>
    </xf>
  </cellXfs>
  <cellStyles count="2">
    <cellStyle name="Normal" xfId="1" xr:uid="{00000000-0005-0000-0000-000000000000}"/>
    <cellStyle name="常规" xfId="0" builtinId="0"/>
  </cellStyles>
  <dxfs count="2">
    <dxf>
      <font>
        <b/>
        <color rgb="FFA43632"/>
      </font>
      <fill>
        <patternFill patternType="solid">
          <bgColor rgb="FFFDE8E7"/>
        </patternFill>
      </fill>
    </dxf>
    <dxf>
      <font>
        <b/>
        <color rgb="FF16805C"/>
      </font>
      <fill>
        <patternFill patternType="solid">
          <bgColor rgb="FFE4F3E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c:style val="2"/>
  <c:chart>
    <c:title>
      <c:tx>
        <c:rich>
          <a:bodyPr/>
          <a:lstStyle/>
          <a:p>
            <a:r>
              <a:rPr lang="en-US"/>
              <a:t>Monthly revenue vs plan (USD)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Plan revenue</c:v>
          </c:tx>
          <c:marker>
            <c:symbol val="none"/>
          </c:marker>
          <c:cat>
            <c:strRef>
              <c:f>'Monthly Model'!$A$5:$A$16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'Monthly Model'!$B$5:$B$16</c:f>
              <c:numCache>
                <c:formatCode>\$#,##0</c:formatCode>
                <c:ptCount val="12"/>
                <c:pt idx="0">
                  <c:v>365000</c:v>
                </c:pt>
                <c:pt idx="1">
                  <c:v>377000</c:v>
                </c:pt>
                <c:pt idx="2">
                  <c:v>389000</c:v>
                </c:pt>
                <c:pt idx="3">
                  <c:v>401000</c:v>
                </c:pt>
                <c:pt idx="4">
                  <c:v>413000</c:v>
                </c:pt>
                <c:pt idx="5">
                  <c:v>425000</c:v>
                </c:pt>
                <c:pt idx="6">
                  <c:v>437000</c:v>
                </c:pt>
                <c:pt idx="7">
                  <c:v>449000</c:v>
                </c:pt>
                <c:pt idx="8">
                  <c:v>461000</c:v>
                </c:pt>
                <c:pt idx="9">
                  <c:v>518000</c:v>
                </c:pt>
                <c:pt idx="10">
                  <c:v>530000</c:v>
                </c:pt>
                <c:pt idx="11">
                  <c:v>542000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D2-48AA-90D2-76BB4C93A805}"/>
            </c:ext>
          </c:extLst>
        </c:ser>
        <c:ser>
          <c:idx val="1"/>
          <c:order val="1"/>
          <c:tx>
            <c:v>Actual revenue</c:v>
          </c:tx>
          <c:marker>
            <c:symbol val="none"/>
          </c:marker>
          <c:cat>
            <c:strRef>
              <c:f>'Monthly Model'!$A$5:$A$16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'Monthly Model'!$C$5:$C$16</c:f>
              <c:numCache>
                <c:formatCode>\$#,##0</c:formatCode>
                <c:ptCount val="12"/>
                <c:pt idx="0">
                  <c:v>349379.50199999998</c:v>
                </c:pt>
                <c:pt idx="1">
                  <c:v>370146.10626399994</c:v>
                </c:pt>
                <c:pt idx="2">
                  <c:v>391918.06668799999</c:v>
                </c:pt>
                <c:pt idx="3">
                  <c:v>415074.83900399995</c:v>
                </c:pt>
                <c:pt idx="4">
                  <c:v>439124.24902400002</c:v>
                </c:pt>
                <c:pt idx="5">
                  <c:v>464530.68046</c:v>
                </c:pt>
                <c:pt idx="6">
                  <c:v>471554.04107199999</c:v>
                </c:pt>
                <c:pt idx="7">
                  <c:v>519243.21510400006</c:v>
                </c:pt>
                <c:pt idx="8">
                  <c:v>548712.779216</c:v>
                </c:pt>
                <c:pt idx="9">
                  <c:v>599759.38041840005</c:v>
                </c:pt>
                <c:pt idx="10">
                  <c:v>747429.81641999993</c:v>
                </c:pt>
                <c:pt idx="11">
                  <c:v>835887.67984691996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4D2-48AA-90D2-76BB4C93A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  <a:endParaRPr lang="zh-CN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" sourceLinked="1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  <a:endParaRPr lang="zh-CN"/>
          </a:p>
        </c:txPr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c:style val="2"/>
  <c:chart>
    <c:title>
      <c:tx>
        <c:rich>
          <a:bodyPr/>
          <a:lstStyle/>
          <a:p>
            <a:r>
              <a:rPr lang="en-US"/>
              <a:t>Conversion rate by channel (%)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Conversion rate</c:v>
          </c:tx>
          <c:invertIfNegative val="1"/>
          <c:cat>
            <c:strRef>
              <c:f>'Channel Model'!$A$5:$A$8</c:f>
              <c:strCache>
                <c:ptCount val="4"/>
                <c:pt idx="0">
                  <c:v>Search</c:v>
                </c:pt>
                <c:pt idx="1">
                  <c:v>Paid Social</c:v>
                </c:pt>
                <c:pt idx="2">
                  <c:v>Email</c:v>
                </c:pt>
                <c:pt idx="3">
                  <c:v>Affiliate</c:v>
                </c:pt>
              </c:strCache>
            </c:strRef>
          </c:cat>
          <c:val>
            <c:numRef>
              <c:f>'Channel Model'!$B$5:$B$8</c:f>
              <c:numCache>
                <c:formatCode>0.0%</c:formatCode>
                <c:ptCount val="4"/>
                <c:pt idx="0">
                  <c:v>3.7765103557214741E-2</c:v>
                </c:pt>
                <c:pt idx="1">
                  <c:v>2.9189161504203306E-2</c:v>
                </c:pt>
                <c:pt idx="2">
                  <c:v>6.6368971332209106E-2</c:v>
                </c:pt>
                <c:pt idx="3">
                  <c:v>3.4246764793045538E-2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6-4BAC-A1C4-DE095F6A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  <a:endParaRPr lang="zh-CN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%" sourceLinked="1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  <a:endParaRPr lang="zh-CN"/>
          </a:p>
        </c:txPr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10</xdr:row>
      <xdr:rowOff>0</xdr:rowOff>
    </xdr:from>
    <xdr:to>
      <xdr:col>14</xdr:col>
      <xdr:colOff>0</xdr:colOff>
      <xdr:row>27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workbookViewId="0">
      <selection sqref="A1:N2"/>
    </sheetView>
  </sheetViews>
  <sheetFormatPr defaultRowHeight="14"/>
  <cols>
    <col min="1" max="14" width="11" customWidth="1"/>
  </cols>
  <sheetData>
    <row r="1" spans="1:14" ht="28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22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>
      <c r="A5" s="31" t="s">
        <v>2</v>
      </c>
      <c r="B5" s="32"/>
      <c r="C5" s="33"/>
      <c r="D5" s="40" t="s">
        <v>3</v>
      </c>
      <c r="E5" s="41"/>
      <c r="F5" s="42"/>
      <c r="G5" s="49" t="s">
        <v>4</v>
      </c>
      <c r="H5" s="50"/>
      <c r="I5" s="51"/>
      <c r="J5" s="58" t="s">
        <v>5</v>
      </c>
      <c r="K5" s="59"/>
      <c r="L5" s="60"/>
      <c r="M5" s="67" t="str">
        <f>"MODEL STATUS"&amp;CHAR(10)&amp;Checks!B4</f>
        <v>MODEL STATUS
PASS</v>
      </c>
      <c r="N5" s="68"/>
    </row>
    <row r="6" spans="1:14">
      <c r="A6" s="34">
        <f>SUM('Monthly Model'!C5:C16)</f>
        <v>6152760.3555173203</v>
      </c>
      <c r="B6" s="35"/>
      <c r="C6" s="36"/>
      <c r="D6" s="43">
        <f>SUM('Monthly Model'!D5:D16)/SUM('Monthly Model'!B5:B16)</f>
        <v>0.15936694093034104</v>
      </c>
      <c r="E6" s="44"/>
      <c r="F6" s="45"/>
      <c r="G6" s="52">
        <f>SUM('Monthly Model'!J5:J16)</f>
        <v>2458551.1355134607</v>
      </c>
      <c r="H6" s="53"/>
      <c r="I6" s="54"/>
      <c r="J6" s="61">
        <f>AVERAGE('Monthly Model'!N5:N16)</f>
        <v>0.45124999999999993</v>
      </c>
      <c r="K6" s="62"/>
      <c r="L6" s="63"/>
      <c r="M6" s="69"/>
      <c r="N6" s="70"/>
    </row>
    <row r="7" spans="1:14">
      <c r="A7" s="34"/>
      <c r="B7" s="35"/>
      <c r="C7" s="36"/>
      <c r="D7" s="43"/>
      <c r="E7" s="44"/>
      <c r="F7" s="45"/>
      <c r="G7" s="52"/>
      <c r="H7" s="53"/>
      <c r="I7" s="54"/>
      <c r="J7" s="61"/>
      <c r="K7" s="62"/>
      <c r="L7" s="63"/>
      <c r="M7" s="69"/>
      <c r="N7" s="70"/>
    </row>
    <row r="8" spans="1:14">
      <c r="A8" s="37"/>
      <c r="B8" s="38"/>
      <c r="C8" s="39"/>
      <c r="D8" s="46"/>
      <c r="E8" s="47"/>
      <c r="F8" s="48"/>
      <c r="G8" s="55"/>
      <c r="H8" s="56"/>
      <c r="I8" s="57"/>
      <c r="J8" s="64"/>
      <c r="K8" s="65"/>
      <c r="L8" s="66"/>
      <c r="M8" s="71"/>
      <c r="N8" s="72"/>
    </row>
    <row r="10" spans="1:14" ht="15.5">
      <c r="A10" s="73" t="s">
        <v>6</v>
      </c>
      <c r="B10" s="73"/>
      <c r="C10" s="73"/>
      <c r="D10" s="73"/>
      <c r="E10" s="73"/>
      <c r="F10" s="73"/>
      <c r="G10" s="73"/>
      <c r="H10" s="73" t="s">
        <v>7</v>
      </c>
      <c r="I10" s="73"/>
      <c r="J10" s="73"/>
      <c r="K10" s="73"/>
      <c r="L10" s="73"/>
      <c r="M10" s="73"/>
      <c r="N10" s="73"/>
    </row>
    <row r="29" spans="1:14">
      <c r="A29" s="74" t="s">
        <v>8</v>
      </c>
      <c r="B29" s="75"/>
      <c r="C29" s="75"/>
      <c r="D29" s="76"/>
      <c r="E29" s="74" t="s">
        <v>9</v>
      </c>
      <c r="F29" s="75"/>
      <c r="G29" s="75"/>
      <c r="H29" s="75"/>
      <c r="I29" s="76"/>
      <c r="J29" s="74" t="s">
        <v>10</v>
      </c>
      <c r="K29" s="75"/>
      <c r="L29" s="75"/>
      <c r="M29" s="75"/>
      <c r="N29" s="76"/>
    </row>
    <row r="30" spans="1:14">
      <c r="A30" s="77"/>
      <c r="B30" s="78"/>
      <c r="C30" s="78"/>
      <c r="D30" s="79"/>
      <c r="E30" s="77"/>
      <c r="F30" s="78"/>
      <c r="G30" s="78"/>
      <c r="H30" s="78"/>
      <c r="I30" s="79"/>
      <c r="J30" s="77"/>
      <c r="K30" s="78"/>
      <c r="L30" s="78"/>
      <c r="M30" s="78"/>
      <c r="N30" s="79"/>
    </row>
    <row r="31" spans="1:14">
      <c r="A31" s="77"/>
      <c r="B31" s="78"/>
      <c r="C31" s="78"/>
      <c r="D31" s="79"/>
      <c r="E31" s="77"/>
      <c r="F31" s="78"/>
      <c r="G31" s="78"/>
      <c r="H31" s="78"/>
      <c r="I31" s="79"/>
      <c r="J31" s="77"/>
      <c r="K31" s="78"/>
      <c r="L31" s="78"/>
      <c r="M31" s="78"/>
      <c r="N31" s="79"/>
    </row>
    <row r="32" spans="1:14">
      <c r="A32" s="77"/>
      <c r="B32" s="78"/>
      <c r="C32" s="78"/>
      <c r="D32" s="79"/>
      <c r="E32" s="77"/>
      <c r="F32" s="78"/>
      <c r="G32" s="78"/>
      <c r="H32" s="78"/>
      <c r="I32" s="79"/>
      <c r="J32" s="77"/>
      <c r="K32" s="78"/>
      <c r="L32" s="78"/>
      <c r="M32" s="78"/>
      <c r="N32" s="79"/>
    </row>
    <row r="33" spans="1:14">
      <c r="A33" s="80"/>
      <c r="B33" s="81"/>
      <c r="C33" s="81"/>
      <c r="D33" s="82"/>
      <c r="E33" s="80"/>
      <c r="F33" s="81"/>
      <c r="G33" s="81"/>
      <c r="H33" s="81"/>
      <c r="I33" s="82"/>
      <c r="J33" s="80"/>
      <c r="K33" s="81"/>
      <c r="L33" s="81"/>
      <c r="M33" s="81"/>
      <c r="N33" s="82"/>
    </row>
  </sheetData>
  <mergeCells count="16">
    <mergeCell ref="A10:G10"/>
    <mergeCell ref="H10:N10"/>
    <mergeCell ref="A29:D33"/>
    <mergeCell ref="E29:I33"/>
    <mergeCell ref="J29:N33"/>
    <mergeCell ref="A1:N2"/>
    <mergeCell ref="A3:N3"/>
    <mergeCell ref="A5:C5"/>
    <mergeCell ref="A6:C8"/>
    <mergeCell ref="D5:F5"/>
    <mergeCell ref="D6:F8"/>
    <mergeCell ref="G5:I5"/>
    <mergeCell ref="G6:I8"/>
    <mergeCell ref="J5:L5"/>
    <mergeCell ref="J6:L8"/>
    <mergeCell ref="M5:N8"/>
  </mergeCells>
  <phoneticPr fontId="13" type="noConversion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showGridLines="0" workbookViewId="0">
      <selection sqref="A1:N2"/>
    </sheetView>
  </sheetViews>
  <sheetFormatPr defaultRowHeight="14"/>
  <cols>
    <col min="1" max="1" width="13" customWidth="1"/>
    <col min="2" max="2" width="16" customWidth="1"/>
    <col min="3" max="3" width="17" customWidth="1"/>
    <col min="4" max="4" width="14" customWidth="1"/>
    <col min="5" max="5" width="11" customWidth="1"/>
    <col min="6" max="6" width="14" customWidth="1"/>
    <col min="7" max="7" width="16" customWidth="1"/>
    <col min="8" max="8" width="14" customWidth="1"/>
    <col min="9" max="9" width="15" customWidth="1"/>
    <col min="10" max="10" width="20" customWidth="1"/>
    <col min="11" max="11" width="18" customWidth="1"/>
    <col min="12" max="12" width="12" customWidth="1"/>
    <col min="13" max="13" width="11" customWidth="1"/>
    <col min="14" max="14" width="13" customWidth="1"/>
  </cols>
  <sheetData>
    <row r="1" spans="1:14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>
      <c r="A3" s="30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>
      <c r="A4" s="1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3" t="s">
        <v>26</v>
      </c>
    </row>
    <row r="5" spans="1:14">
      <c r="A5" s="4" t="s">
        <v>27</v>
      </c>
      <c r="B5" s="13">
        <f>Assumptions!G6</f>
        <v>365000</v>
      </c>
      <c r="C5" s="13">
        <f>SUMIFS('Source Data'!$I$6:$I$53,'Source Data'!$A$6:$A$53,A5)</f>
        <v>349379.50199999998</v>
      </c>
      <c r="D5" s="13">
        <f t="shared" ref="D5:D16" si="0">C5-B5</f>
        <v>-15620.498000000021</v>
      </c>
      <c r="E5" s="15">
        <f t="shared" ref="E5:E17" si="1">IF(B5=0,0,D5/B5)</f>
        <v>-4.2795884931506906E-2</v>
      </c>
      <c r="F5" s="13">
        <f>SUMIFS('Source Data'!$K$6:$K$53,'Source Data'!$A$6:$A$53,A5)</f>
        <v>160930.18703999999</v>
      </c>
      <c r="G5" s="13">
        <f t="shared" ref="G5:G16" si="2">C5-F5</f>
        <v>188449.31495999999</v>
      </c>
      <c r="H5" s="17">
        <f t="shared" ref="H5:H17" si="3">IF(C5=0,0,G5/C5)</f>
        <v>0.53938285984505185</v>
      </c>
      <c r="I5" s="13">
        <f>SUMIFS('Source Data'!$L$6:$L$53,'Source Data'!$A$6:$A$53,A5)</f>
        <v>51146.657039999998</v>
      </c>
      <c r="J5" s="13">
        <f>SUMIFS('Source Data'!$M$6:$M$53,'Source Data'!$A$6:$A$53,A5)</f>
        <v>137302.65792</v>
      </c>
      <c r="K5" s="17">
        <f t="shared" ref="K5:K17" si="4">IF(C5=0,0,J5/C5)</f>
        <v>0.39299002126346844</v>
      </c>
      <c r="L5" s="19">
        <f>SUMIFS('Source Data'!$E$6:$E$53,'Source Data'!$A$6:$A$53,A5)</f>
        <v>4210</v>
      </c>
      <c r="M5" s="21">
        <f t="shared" ref="M5:M17" si="5">IF(L5=0,0,C5/L5)</f>
        <v>82.988005225653197</v>
      </c>
      <c r="N5" s="17">
        <f>SUMIFS('Source Data'!$N$6:$N$53,'Source Data'!$A$6:$A$53,A5)/4</f>
        <v>0.41249999999999998</v>
      </c>
    </row>
    <row r="6" spans="1:14">
      <c r="A6" s="4" t="s">
        <v>28</v>
      </c>
      <c r="B6" s="13">
        <f>Assumptions!G7</f>
        <v>377000</v>
      </c>
      <c r="C6" s="13">
        <f>SUMIFS('Source Data'!$I$6:$I$53,'Source Data'!$A$6:$A$53,A6)</f>
        <v>370146.10626399994</v>
      </c>
      <c r="D6" s="13">
        <f t="shared" si="0"/>
        <v>-6853.8937360000564</v>
      </c>
      <c r="E6" s="15">
        <f t="shared" si="1"/>
        <v>-1.8180089485411291E-2</v>
      </c>
      <c r="F6" s="13">
        <f>SUMIFS('Source Data'!$K$6:$K$53,'Source Data'!$A$6:$A$53,A6)</f>
        <v>170426.51636295998</v>
      </c>
      <c r="G6" s="13">
        <f t="shared" si="2"/>
        <v>199719.58990103996</v>
      </c>
      <c r="H6" s="17">
        <f t="shared" si="3"/>
        <v>0.53956960919262953</v>
      </c>
      <c r="I6" s="13">
        <f>SUMIFS('Source Data'!$L$6:$L$53,'Source Data'!$A$6:$A$53,A6)</f>
        <v>53868.949729760003</v>
      </c>
      <c r="J6" s="13">
        <f>SUMIFS('Source Data'!$M$6:$M$53,'Source Data'!$A$6:$A$53,A6)</f>
        <v>145850.64017127999</v>
      </c>
      <c r="K6" s="17">
        <f t="shared" si="4"/>
        <v>0.39403532200675018</v>
      </c>
      <c r="L6" s="19">
        <f>SUMIFS('Source Data'!$E$6:$E$53,'Source Data'!$A$6:$A$53,A6)</f>
        <v>4404</v>
      </c>
      <c r="M6" s="21">
        <f t="shared" si="5"/>
        <v>84.047708052679369</v>
      </c>
      <c r="N6" s="17">
        <f>SUMIFS('Source Data'!$N$6:$N$53,'Source Data'!$A$6:$A$53,A6)/4</f>
        <v>0.41954545454545455</v>
      </c>
    </row>
    <row r="7" spans="1:14">
      <c r="A7" s="4" t="s">
        <v>29</v>
      </c>
      <c r="B7" s="13">
        <f>Assumptions!G8</f>
        <v>389000</v>
      </c>
      <c r="C7" s="13">
        <f>SUMIFS('Source Data'!$I$6:$I$53,'Source Data'!$A$6:$A$53,A7)</f>
        <v>391918.06668799999</v>
      </c>
      <c r="D7" s="13">
        <f t="shared" si="0"/>
        <v>2918.0666879999917</v>
      </c>
      <c r="E7" s="15">
        <f t="shared" si="1"/>
        <v>7.5014567814909814E-3</v>
      </c>
      <c r="F7" s="13">
        <f>SUMIFS('Source Data'!$K$6:$K$53,'Source Data'!$A$6:$A$53,A7)</f>
        <v>180380.39218175999</v>
      </c>
      <c r="G7" s="13">
        <f t="shared" si="2"/>
        <v>211537.67450624</v>
      </c>
      <c r="H7" s="17">
        <f t="shared" si="3"/>
        <v>0.53974973977058815</v>
      </c>
      <c r="I7" s="13">
        <f>SUMIFS('Source Data'!$L$6:$L$53,'Source Data'!$A$6:$A$53,A7)</f>
        <v>56706.137866240002</v>
      </c>
      <c r="J7" s="13">
        <f>SUMIFS('Source Data'!$M$6:$M$53,'Source Data'!$A$6:$A$53,A7)</f>
        <v>154831.53664000001</v>
      </c>
      <c r="K7" s="17">
        <f t="shared" si="4"/>
        <v>0.39506098289482283</v>
      </c>
      <c r="L7" s="19">
        <f>SUMIFS('Source Data'!$E$6:$E$53,'Source Data'!$A$6:$A$53,A7)</f>
        <v>4605</v>
      </c>
      <c r="M7" s="21">
        <f t="shared" si="5"/>
        <v>85.107072027795866</v>
      </c>
      <c r="N7" s="17">
        <f>SUMIFS('Source Data'!$N$6:$N$53,'Source Data'!$A$6:$A$53,A7)/4</f>
        <v>0.42659090909090902</v>
      </c>
    </row>
    <row r="8" spans="1:14">
      <c r="A8" s="4" t="s">
        <v>30</v>
      </c>
      <c r="B8" s="13">
        <f>Assumptions!G9</f>
        <v>401000</v>
      </c>
      <c r="C8" s="13">
        <f>SUMIFS('Source Data'!$I$6:$I$53,'Source Data'!$A$6:$A$53,A8)</f>
        <v>415074.83900399995</v>
      </c>
      <c r="D8" s="13">
        <f t="shared" si="0"/>
        <v>14074.83900399995</v>
      </c>
      <c r="E8" s="15">
        <f t="shared" si="1"/>
        <v>3.5099349137156982E-2</v>
      </c>
      <c r="F8" s="13">
        <f>SUMIFS('Source Data'!$K$6:$K$53,'Source Data'!$A$6:$A$53,A8)</f>
        <v>190962.48523520003</v>
      </c>
      <c r="G8" s="13">
        <f t="shared" si="2"/>
        <v>224112.35376879992</v>
      </c>
      <c r="H8" s="17">
        <f t="shared" si="3"/>
        <v>0.53993239943565985</v>
      </c>
      <c r="I8" s="13">
        <f>SUMIFS('Source Data'!$L$6:$L$53,'Source Data'!$A$6:$A$53,A8)</f>
        <v>59703.925253280002</v>
      </c>
      <c r="J8" s="13">
        <f>SUMIFS('Source Data'!$M$6:$M$53,'Source Data'!$A$6:$A$53,A8)</f>
        <v>164408.42851552001</v>
      </c>
      <c r="K8" s="17">
        <f t="shared" si="4"/>
        <v>0.39609345849541039</v>
      </c>
      <c r="L8" s="19">
        <f>SUMIFS('Source Data'!$E$6:$E$53,'Source Data'!$A$6:$A$53,A8)</f>
        <v>4817</v>
      </c>
      <c r="M8" s="21">
        <f t="shared" si="5"/>
        <v>86.1687438247872</v>
      </c>
      <c r="N8" s="17">
        <f>SUMIFS('Source Data'!$N$6:$N$53,'Source Data'!$A$6:$A$53,A8)/4</f>
        <v>0.4336363636363636</v>
      </c>
    </row>
    <row r="9" spans="1:14">
      <c r="A9" s="4" t="s">
        <v>31</v>
      </c>
      <c r="B9" s="13">
        <f>Assumptions!G10</f>
        <v>413000</v>
      </c>
      <c r="C9" s="13">
        <f>SUMIFS('Source Data'!$I$6:$I$53,'Source Data'!$A$6:$A$53,A9)</f>
        <v>439124.24902400002</v>
      </c>
      <c r="D9" s="13">
        <f t="shared" si="0"/>
        <v>26124.249024000019</v>
      </c>
      <c r="E9" s="15">
        <f t="shared" si="1"/>
        <v>6.3254840251816033E-2</v>
      </c>
      <c r="F9" s="13">
        <f>SUMIFS('Source Data'!$K$6:$K$53,'Source Data'!$A$6:$A$53,A9)</f>
        <v>201947.60005968</v>
      </c>
      <c r="G9" s="13">
        <f t="shared" si="2"/>
        <v>237176.64896432002</v>
      </c>
      <c r="H9" s="17">
        <f t="shared" si="3"/>
        <v>0.54011284845113916</v>
      </c>
      <c r="I9" s="13">
        <f>SUMIFS('Source Data'!$L$6:$L$53,'Source Data'!$A$6:$A$53,A9)</f>
        <v>62784.684777279996</v>
      </c>
      <c r="J9" s="13">
        <f>SUMIFS('Source Data'!$M$6:$M$53,'Source Data'!$A$6:$A$53,A9)</f>
        <v>174391.96418703999</v>
      </c>
      <c r="K9" s="17">
        <f t="shared" si="4"/>
        <v>0.3971358096817576</v>
      </c>
      <c r="L9" s="19">
        <f>SUMIFS('Source Data'!$E$6:$E$53,'Source Data'!$A$6:$A$53,A9)</f>
        <v>5034</v>
      </c>
      <c r="M9" s="21">
        <f t="shared" si="5"/>
        <v>87.23167441875249</v>
      </c>
      <c r="N9" s="17">
        <f>SUMIFS('Source Data'!$N$6:$N$53,'Source Data'!$A$6:$A$53,A9)/4</f>
        <v>0.44068181818181823</v>
      </c>
    </row>
    <row r="10" spans="1:14">
      <c r="A10" s="4" t="s">
        <v>32</v>
      </c>
      <c r="B10" s="13">
        <f>Assumptions!G11</f>
        <v>425000</v>
      </c>
      <c r="C10" s="13">
        <f>SUMIFS('Source Data'!$I$6:$I$53,'Source Data'!$A$6:$A$53,A10)</f>
        <v>464530.68046</v>
      </c>
      <c r="D10" s="13">
        <f t="shared" si="0"/>
        <v>39530.680460000003</v>
      </c>
      <c r="E10" s="15">
        <f t="shared" si="1"/>
        <v>9.3013365788235297E-2</v>
      </c>
      <c r="F10" s="13">
        <f>SUMIFS('Source Data'!$K$6:$K$53,'Source Data'!$A$6:$A$53,A10)</f>
        <v>213546.0000148</v>
      </c>
      <c r="G10" s="13">
        <f t="shared" si="2"/>
        <v>250984.68044520001</v>
      </c>
      <c r="H10" s="17">
        <f t="shared" si="3"/>
        <v>0.54029731727657526</v>
      </c>
      <c r="I10" s="13">
        <f>SUMIFS('Source Data'!$L$6:$L$53,'Source Data'!$A$6:$A$53,A10)</f>
        <v>66021.719163200003</v>
      </c>
      <c r="J10" s="13">
        <f>SUMIFS('Source Data'!$M$6:$M$53,'Source Data'!$A$6:$A$53,A10)</f>
        <v>184962.96128200003</v>
      </c>
      <c r="K10" s="17">
        <f t="shared" si="4"/>
        <v>0.39817167963769595</v>
      </c>
      <c r="L10" s="19">
        <f>SUMIFS('Source Data'!$E$6:$E$53,'Source Data'!$A$6:$A$53,A10)</f>
        <v>5261</v>
      </c>
      <c r="M10" s="21">
        <f t="shared" si="5"/>
        <v>88.297031070138758</v>
      </c>
      <c r="N10" s="17">
        <f>SUMIFS('Source Data'!$N$6:$N$53,'Source Data'!$A$6:$A$53,A10)/4</f>
        <v>0.4477272727272727</v>
      </c>
    </row>
    <row r="11" spans="1:14">
      <c r="A11" s="4" t="s">
        <v>33</v>
      </c>
      <c r="B11" s="13">
        <f>Assumptions!G12</f>
        <v>437000</v>
      </c>
      <c r="C11" s="13">
        <f>SUMIFS('Source Data'!$I$6:$I$53,'Source Data'!$A$6:$A$53,A11)</f>
        <v>471554.04107199999</v>
      </c>
      <c r="D11" s="13">
        <f t="shared" si="0"/>
        <v>34554.041071999993</v>
      </c>
      <c r="E11" s="15">
        <f t="shared" si="1"/>
        <v>7.9071032201372987E-2</v>
      </c>
      <c r="F11" s="13">
        <f>SUMIFS('Source Data'!$K$6:$K$53,'Source Data'!$A$6:$A$53,A11)</f>
        <v>216692.87490048003</v>
      </c>
      <c r="G11" s="13">
        <f t="shared" si="2"/>
        <v>254861.16617151996</v>
      </c>
      <c r="H11" s="17">
        <f t="shared" si="3"/>
        <v>0.54047074984690047</v>
      </c>
      <c r="I11" s="13">
        <f>SUMIFS('Source Data'!$L$6:$L$53,'Source Data'!$A$6:$A$53,A11)</f>
        <v>66635.798334079998</v>
      </c>
      <c r="J11" s="13">
        <f>SUMIFS('Source Data'!$M$6:$M$53,'Source Data'!$A$6:$A$53,A11)</f>
        <v>188225.36783743996</v>
      </c>
      <c r="K11" s="17">
        <f t="shared" si="4"/>
        <v>0.39915969632990689</v>
      </c>
      <c r="L11" s="19">
        <f>SUMIFS('Source Data'!$E$6:$E$53,'Source Data'!$A$6:$A$53,A11)</f>
        <v>5277</v>
      </c>
      <c r="M11" s="21">
        <f t="shared" si="5"/>
        <v>89.360250345271936</v>
      </c>
      <c r="N11" s="17">
        <f>SUMIFS('Source Data'!$N$6:$N$53,'Source Data'!$A$6:$A$53,A11)/4</f>
        <v>0.45477272727272727</v>
      </c>
    </row>
    <row r="12" spans="1:14">
      <c r="A12" s="4" t="s">
        <v>34</v>
      </c>
      <c r="B12" s="13">
        <f>Assumptions!G13</f>
        <v>449000</v>
      </c>
      <c r="C12" s="13">
        <f>SUMIFS('Source Data'!$I$6:$I$53,'Source Data'!$A$6:$A$53,A12)</f>
        <v>519243.21510400006</v>
      </c>
      <c r="D12" s="13">
        <f t="shared" si="0"/>
        <v>70243.215104000061</v>
      </c>
      <c r="E12" s="15">
        <f t="shared" si="1"/>
        <v>0.15644368620044558</v>
      </c>
      <c r="F12" s="13">
        <f>SUMIFS('Source Data'!$K$6:$K$53,'Source Data'!$A$6:$A$53,A12)</f>
        <v>238511.63333136006</v>
      </c>
      <c r="G12" s="13">
        <f t="shared" si="2"/>
        <v>280731.58177264</v>
      </c>
      <c r="H12" s="17">
        <f t="shared" si="3"/>
        <v>0.54065527214719944</v>
      </c>
      <c r="I12" s="13">
        <f>SUMIFS('Source Data'!$L$6:$L$53,'Source Data'!$A$6:$A$53,A12)</f>
        <v>72928.166277440003</v>
      </c>
      <c r="J12" s="13">
        <f>SUMIFS('Source Data'!$M$6:$M$53,'Source Data'!$A$6:$A$53,A12)</f>
        <v>207803.41549519997</v>
      </c>
      <c r="K12" s="17">
        <f t="shared" si="4"/>
        <v>0.40020439256693741</v>
      </c>
      <c r="L12" s="19">
        <f>SUMIFS('Source Data'!$E$6:$E$53,'Source Data'!$A$6:$A$53,A12)</f>
        <v>5742</v>
      </c>
      <c r="M12" s="21">
        <f t="shared" si="5"/>
        <v>90.428982080111467</v>
      </c>
      <c r="N12" s="17">
        <f>SUMIFS('Source Data'!$N$6:$N$53,'Source Data'!$A$6:$A$53,A12)/4</f>
        <v>0.46181818181818185</v>
      </c>
    </row>
    <row r="13" spans="1:14">
      <c r="A13" s="4" t="s">
        <v>35</v>
      </c>
      <c r="B13" s="13">
        <f>Assumptions!G14</f>
        <v>461000</v>
      </c>
      <c r="C13" s="13">
        <f>SUMIFS('Source Data'!$I$6:$I$53,'Source Data'!$A$6:$A$53,A13)</f>
        <v>548712.779216</v>
      </c>
      <c r="D13" s="13">
        <f t="shared" si="0"/>
        <v>87712.779215999995</v>
      </c>
      <c r="E13" s="15">
        <f t="shared" si="1"/>
        <v>0.19026633235574836</v>
      </c>
      <c r="F13" s="13">
        <f>SUMIFS('Source Data'!$K$6:$K$53,'Source Data'!$A$6:$A$53,A13)</f>
        <v>251949.20401760002</v>
      </c>
      <c r="G13" s="13">
        <f t="shared" si="2"/>
        <v>296763.57519839995</v>
      </c>
      <c r="H13" s="17">
        <f t="shared" si="3"/>
        <v>0.54083590985873398</v>
      </c>
      <c r="I13" s="13">
        <f>SUMIFS('Source Data'!$L$6:$L$53,'Source Data'!$A$6:$A$53,A13)</f>
        <v>76605.127538560017</v>
      </c>
      <c r="J13" s="13">
        <f>SUMIFS('Source Data'!$M$6:$M$53,'Source Data'!$A$6:$A$53,A13)</f>
        <v>220158.44765984002</v>
      </c>
      <c r="K13" s="17">
        <f t="shared" si="4"/>
        <v>0.40122711917590492</v>
      </c>
      <c r="L13" s="19">
        <f>SUMIFS('Source Data'!$E$6:$E$53,'Source Data'!$A$6:$A$53,A13)</f>
        <v>5997</v>
      </c>
      <c r="M13" s="21">
        <f t="shared" si="5"/>
        <v>91.497878808737696</v>
      </c>
      <c r="N13" s="17">
        <f>SUMIFS('Source Data'!$N$6:$N$53,'Source Data'!$A$6:$A$53,A13)/4</f>
        <v>0.46886363636363632</v>
      </c>
    </row>
    <row r="14" spans="1:14">
      <c r="A14" s="4" t="s">
        <v>36</v>
      </c>
      <c r="B14" s="13">
        <f>Assumptions!G15</f>
        <v>518000</v>
      </c>
      <c r="C14" s="13">
        <f>SUMIFS('Source Data'!$I$6:$I$53,'Source Data'!$A$6:$A$53,A14)</f>
        <v>599759.38041840005</v>
      </c>
      <c r="D14" s="13">
        <f t="shared" si="0"/>
        <v>81759.380418400047</v>
      </c>
      <c r="E14" s="15">
        <f t="shared" si="1"/>
        <v>0.15783664173436301</v>
      </c>
      <c r="F14" s="13">
        <f>SUMIFS('Source Data'!$K$6:$K$53,'Source Data'!$A$6:$A$53,A14)</f>
        <v>275279.50465873559</v>
      </c>
      <c r="G14" s="13">
        <f t="shared" si="2"/>
        <v>324479.87575966446</v>
      </c>
      <c r="H14" s="17">
        <f t="shared" si="3"/>
        <v>0.54101675830947904</v>
      </c>
      <c r="I14" s="13">
        <f>SUMIFS('Source Data'!$L$6:$L$53,'Source Data'!$A$6:$A$53,A14)</f>
        <v>83229.200734831204</v>
      </c>
      <c r="J14" s="13">
        <f>SUMIFS('Source Data'!$M$6:$M$53,'Source Data'!$A$6:$A$53,A14)</f>
        <v>241250.67502483324</v>
      </c>
      <c r="K14" s="17">
        <f t="shared" si="4"/>
        <v>0.4022457720570099</v>
      </c>
      <c r="L14" s="19">
        <f>SUMIFS('Source Data'!$E$6:$E$53,'Source Data'!$A$6:$A$53,A14)</f>
        <v>6260</v>
      </c>
      <c r="M14" s="21">
        <f t="shared" si="5"/>
        <v>95.808207734568697</v>
      </c>
      <c r="N14" s="17">
        <f>SUMIFS('Source Data'!$N$6:$N$53,'Source Data'!$A$6:$A$53,A14)/4</f>
        <v>0.47590909090909089</v>
      </c>
    </row>
    <row r="15" spans="1:14">
      <c r="A15" s="4" t="s">
        <v>37</v>
      </c>
      <c r="B15" s="13">
        <f>Assumptions!G16</f>
        <v>530000</v>
      </c>
      <c r="C15" s="13">
        <f>SUMIFS('Source Data'!$I$6:$I$53,'Source Data'!$A$6:$A$53,A15)</f>
        <v>747429.81641999993</v>
      </c>
      <c r="D15" s="13">
        <f t="shared" si="0"/>
        <v>217429.81641999993</v>
      </c>
      <c r="E15" s="15">
        <f t="shared" si="1"/>
        <v>0.41024493664150929</v>
      </c>
      <c r="F15" s="13">
        <f>SUMIFS('Source Data'!$K$6:$K$53,'Source Data'!$A$6:$A$53,A15)</f>
        <v>342923.47616923199</v>
      </c>
      <c r="G15" s="13">
        <f t="shared" si="2"/>
        <v>404506.34025076794</v>
      </c>
      <c r="H15" s="17">
        <f t="shared" si="3"/>
        <v>0.54119641920127182</v>
      </c>
      <c r="I15" s="13">
        <f>SUMIFS('Source Data'!$L$6:$L$53,'Source Data'!$A$6:$A$53,A15)</f>
        <v>103083.91234041601</v>
      </c>
      <c r="J15" s="13">
        <f>SUMIFS('Source Data'!$M$6:$M$53,'Source Data'!$A$6:$A$53,A15)</f>
        <v>301422.42791035201</v>
      </c>
      <c r="K15" s="17">
        <f t="shared" si="4"/>
        <v>0.40327857049386834</v>
      </c>
      <c r="L15" s="19">
        <f>SUMIFS('Source Data'!$E$6:$E$53,'Source Data'!$A$6:$A$53,A15)</f>
        <v>7712</v>
      </c>
      <c r="M15" s="21">
        <f t="shared" si="5"/>
        <v>96.91776665197095</v>
      </c>
      <c r="N15" s="17">
        <f>SUMIFS('Source Data'!$N$6:$N$53,'Source Data'!$A$6:$A$53,A15)/4</f>
        <v>0.48295454545454541</v>
      </c>
    </row>
    <row r="16" spans="1:14">
      <c r="A16" s="4" t="s">
        <v>38</v>
      </c>
      <c r="B16" s="13">
        <f>Assumptions!G17</f>
        <v>542000</v>
      </c>
      <c r="C16" s="13">
        <f>SUMIFS('Source Data'!$I$6:$I$53,'Source Data'!$A$6:$A$53,A16)</f>
        <v>835887.67984691996</v>
      </c>
      <c r="D16" s="13">
        <f t="shared" si="0"/>
        <v>293887.67984691996</v>
      </c>
      <c r="E16" s="15">
        <f t="shared" si="1"/>
        <v>0.54222819159948332</v>
      </c>
      <c r="F16" s="13">
        <f>SUMIFS('Source Data'!$K$6:$K$53,'Source Data'!$A$6:$A$53,A16)</f>
        <v>383358.62628828001</v>
      </c>
      <c r="G16" s="13">
        <f t="shared" si="2"/>
        <v>452529.05355863995</v>
      </c>
      <c r="H16" s="17">
        <f t="shared" si="3"/>
        <v>0.54137543173445712</v>
      </c>
      <c r="I16" s="13">
        <f>SUMIFS('Source Data'!$L$6:$L$53,'Source Data'!$A$6:$A$53,A16)</f>
        <v>114586.4406886848</v>
      </c>
      <c r="J16" s="13">
        <f>SUMIFS('Source Data'!$M$6:$M$53,'Source Data'!$A$6:$A$53,A16)</f>
        <v>337942.61286995519</v>
      </c>
      <c r="K16" s="17">
        <f t="shared" si="4"/>
        <v>0.40429189353747169</v>
      </c>
      <c r="L16" s="19">
        <f>SUMIFS('Source Data'!$E$6:$E$53,'Source Data'!$A$6:$A$53,A16)</f>
        <v>8527</v>
      </c>
      <c r="M16" s="21">
        <f t="shared" si="5"/>
        <v>98.028342892801689</v>
      </c>
      <c r="N16" s="17">
        <f>SUMIFS('Source Data'!$N$6:$N$53,'Source Data'!$A$6:$A$53,A16)/4</f>
        <v>0.49</v>
      </c>
    </row>
    <row r="17" spans="1:14">
      <c r="A17" s="12" t="s">
        <v>39</v>
      </c>
      <c r="B17" s="14">
        <f>SUM(B5:B16)</f>
        <v>5307000</v>
      </c>
      <c r="C17" s="14">
        <f>SUM(C5:C16)</f>
        <v>6152760.3555173203</v>
      </c>
      <c r="D17" s="14">
        <f>SUM(D5:D16)</f>
        <v>845760.35551731987</v>
      </c>
      <c r="E17" s="16">
        <f t="shared" si="1"/>
        <v>0.15936694093034104</v>
      </c>
      <c r="F17" s="14">
        <f>SUM(F5:F16)</f>
        <v>2826908.5002600872</v>
      </c>
      <c r="G17" s="14">
        <f>SUM(G5:G16)</f>
        <v>3325851.8552572317</v>
      </c>
      <c r="H17" s="18">
        <f t="shared" si="3"/>
        <v>0.54054630167333995</v>
      </c>
      <c r="I17" s="14">
        <f>SUM(I5:I16)</f>
        <v>867300.71974377206</v>
      </c>
      <c r="J17" s="14">
        <f>SUM(J5:J16)</f>
        <v>2458551.1355134607</v>
      </c>
      <c r="K17" s="18">
        <f t="shared" si="4"/>
        <v>0.39958506319993786</v>
      </c>
      <c r="L17" s="20">
        <f>SUM(L5:L16)</f>
        <v>67846</v>
      </c>
      <c r="M17" s="22">
        <f t="shared" si="5"/>
        <v>90.687149655356549</v>
      </c>
      <c r="N17" s="23">
        <f>AVERAGE(N5:N16)</f>
        <v>0.45124999999999993</v>
      </c>
    </row>
  </sheetData>
  <mergeCells count="2">
    <mergeCell ref="A1:N2"/>
    <mergeCell ref="A3:N3"/>
  </mergeCells>
  <phoneticPr fontId="13" type="noConversion"/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"/>
  <sheetViews>
    <sheetView showGridLines="0" workbookViewId="0">
      <selection sqref="A1:I2"/>
    </sheetView>
  </sheetViews>
  <sheetFormatPr defaultRowHeight="14"/>
  <cols>
    <col min="1" max="1" width="18" customWidth="1"/>
    <col min="2" max="2" width="17" customWidth="1"/>
    <col min="3" max="3" width="14" customWidth="1"/>
    <col min="4" max="4" width="12" customWidth="1"/>
    <col min="5" max="5" width="17" customWidth="1"/>
    <col min="6" max="6" width="15" customWidth="1"/>
    <col min="7" max="7" width="20" customWidth="1"/>
    <col min="8" max="8" width="18" customWidth="1"/>
    <col min="9" max="9" width="13" customWidth="1"/>
  </cols>
  <sheetData>
    <row r="1" spans="1:14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2" spans="1:14">
      <c r="A2" s="29"/>
      <c r="B2" s="29"/>
      <c r="C2" s="29"/>
      <c r="D2" s="29"/>
      <c r="E2" s="29"/>
      <c r="F2" s="29"/>
      <c r="G2" s="29"/>
      <c r="H2" s="29"/>
      <c r="I2" s="29"/>
    </row>
    <row r="3" spans="1:14">
      <c r="A3" s="30" t="s">
        <v>41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>
      <c r="A4" s="1" t="s">
        <v>42</v>
      </c>
      <c r="B4" s="2" t="s">
        <v>43</v>
      </c>
      <c r="C4" s="2" t="s">
        <v>44</v>
      </c>
      <c r="D4" s="2" t="s">
        <v>24</v>
      </c>
      <c r="E4" s="2" t="s">
        <v>45</v>
      </c>
      <c r="F4" s="2" t="s">
        <v>21</v>
      </c>
      <c r="G4" s="2" t="s">
        <v>22</v>
      </c>
      <c r="H4" s="2" t="s">
        <v>23</v>
      </c>
      <c r="I4" s="3" t="s">
        <v>26</v>
      </c>
    </row>
    <row r="5" spans="1:14">
      <c r="A5" s="4" t="s">
        <v>46</v>
      </c>
      <c r="B5" s="17">
        <f>IF(C5=0,0,D5/C5)</f>
        <v>3.7765103557214741E-2</v>
      </c>
      <c r="C5" s="19">
        <f>SUMIFS('Source Data'!$C$6:$C$53,'Source Data'!$B$6:$B$53,A5)</f>
        <v>583687</v>
      </c>
      <c r="D5" s="19">
        <f>SUMIFS('Source Data'!$E$6:$E$53,'Source Data'!$B$6:$B$53,A5)</f>
        <v>22043</v>
      </c>
      <c r="E5" s="13">
        <f>SUMIFS('Source Data'!$I$6:$I$53,'Source Data'!$B$6:$B$53,A5)</f>
        <v>1966422.8243252002</v>
      </c>
      <c r="F5" s="13">
        <f>SUMIFS('Source Data'!$L$6:$L$53,'Source Data'!$B$6:$B$53,A5)</f>
        <v>393284.56486504007</v>
      </c>
      <c r="G5" s="13">
        <f>SUMIFS('Source Data'!$M$6:$M$53,'Source Data'!$B$6:$B$53,A5)</f>
        <v>668583.76027056796</v>
      </c>
      <c r="H5" s="17">
        <f>IF(E5=0,0,G5/E5)</f>
        <v>0.33999999999999997</v>
      </c>
      <c r="I5" s="17">
        <f>SUMIFS('Source Data'!$N$6:$N$53,'Source Data'!$B$6:$B$53,A5)/12</f>
        <v>0.39500000000000002</v>
      </c>
    </row>
    <row r="6" spans="1:14">
      <c r="A6" s="4" t="s">
        <v>47</v>
      </c>
      <c r="B6" s="17">
        <f>IF(C6=0,0,D6/C6)</f>
        <v>2.9189161504203306E-2</v>
      </c>
      <c r="C6" s="19">
        <f>SUMIFS('Source Data'!$C$6:$C$53,'Source Data'!$B$6:$B$53,A6)</f>
        <v>429543</v>
      </c>
      <c r="D6" s="19">
        <f>SUMIFS('Source Data'!$E$6:$E$53,'Source Data'!$B$6:$B$53,A6)</f>
        <v>12538</v>
      </c>
      <c r="E6" s="13">
        <f>SUMIFS('Source Data'!$I$6:$I$53,'Source Data'!$B$6:$B$53,A6)</f>
        <v>1012732.0446015599</v>
      </c>
      <c r="F6" s="13">
        <f>SUMIFS('Source Data'!$L$6:$L$53,'Source Data'!$B$6:$B$53,A6)</f>
        <v>263310.33159640559</v>
      </c>
      <c r="G6" s="13">
        <f>SUMIFS('Source Data'!$M$6:$M$53,'Source Data'!$B$6:$B$53,A6)</f>
        <v>253183.01115038997</v>
      </c>
      <c r="H6" s="17">
        <f>IF(E6=0,0,G6/E6)</f>
        <v>0.25</v>
      </c>
      <c r="I6" s="17">
        <f>SUMIFS('Source Data'!$N$6:$N$53,'Source Data'!$B$6:$B$53,A6)/12</f>
        <v>0.31500000000000006</v>
      </c>
    </row>
    <row r="7" spans="1:14">
      <c r="A7" s="4" t="s">
        <v>48</v>
      </c>
      <c r="B7" s="17">
        <f>IF(C7=0,0,D7/C7)</f>
        <v>6.6368971332209106E-2</v>
      </c>
      <c r="C7" s="19">
        <f>SUMIFS('Source Data'!$C$6:$C$53,'Source Data'!$B$6:$B$53,A7)</f>
        <v>370625</v>
      </c>
      <c r="D7" s="19">
        <f>SUMIFS('Source Data'!$E$6:$E$53,'Source Data'!$B$6:$B$53,A7)</f>
        <v>24598</v>
      </c>
      <c r="E7" s="13">
        <f>SUMIFS('Source Data'!$I$6:$I$53,'Source Data'!$B$6:$B$53,A7)</f>
        <v>2430383.35869344</v>
      </c>
      <c r="F7" s="13">
        <f>SUMIFS('Source Data'!$L$6:$L$53,'Source Data'!$B$6:$B$53,A7)</f>
        <v>121519.167934672</v>
      </c>
      <c r="G7" s="13">
        <f>SUMIFS('Source Data'!$M$6:$M$53,'Source Data'!$B$6:$B$53,A7)</f>
        <v>1239495.5129336542</v>
      </c>
      <c r="H7" s="17">
        <f>IF(E7=0,0,G7/E7)</f>
        <v>0.5099999999999999</v>
      </c>
      <c r="I7" s="17">
        <f>SUMIFS('Source Data'!$N$6:$N$53,'Source Data'!$B$6:$B$53,A7)/12</f>
        <v>0.65999999999999992</v>
      </c>
    </row>
    <row r="8" spans="1:14">
      <c r="A8" s="4" t="s">
        <v>49</v>
      </c>
      <c r="B8" s="17">
        <f>IF(C8=0,0,D8/C8)</f>
        <v>3.4246764793045538E-2</v>
      </c>
      <c r="C8" s="19">
        <f>SUMIFS('Source Data'!$C$6:$C$53,'Source Data'!$B$6:$B$53,A8)</f>
        <v>253075</v>
      </c>
      <c r="D8" s="19">
        <f>SUMIFS('Source Data'!$E$6:$E$53,'Source Data'!$B$6:$B$53,A8)</f>
        <v>8667</v>
      </c>
      <c r="E8" s="13">
        <f>SUMIFS('Source Data'!$I$6:$I$53,'Source Data'!$B$6:$B$53,A8)</f>
        <v>743222.12789711996</v>
      </c>
      <c r="F8" s="13">
        <f>SUMIFS('Source Data'!$L$6:$L$53,'Source Data'!$B$6:$B$53,A8)</f>
        <v>89186.655347654392</v>
      </c>
      <c r="G8" s="13">
        <f>SUMIFS('Source Data'!$M$6:$M$53,'Source Data'!$B$6:$B$53,A8)</f>
        <v>297288.85115884803</v>
      </c>
      <c r="H8" s="17">
        <f>IF(E8=0,0,G8/E8)</f>
        <v>0.40000000000000008</v>
      </c>
      <c r="I8" s="17">
        <f>SUMIFS('Source Data'!$N$6:$N$53,'Source Data'!$B$6:$B$53,A8)/12</f>
        <v>0.43499999999999989</v>
      </c>
    </row>
    <row r="11" spans="1:14">
      <c r="A11" s="1" t="s">
        <v>50</v>
      </c>
      <c r="B11" s="2" t="s">
        <v>51</v>
      </c>
      <c r="C11" s="2"/>
      <c r="D11" s="2"/>
      <c r="E11" s="2"/>
      <c r="F11" s="2"/>
      <c r="G11" s="2"/>
      <c r="H11" s="2"/>
      <c r="I11" s="3"/>
    </row>
    <row r="12" spans="1:14">
      <c r="A12" s="24" t="s">
        <v>52</v>
      </c>
      <c r="B12" s="83" t="s">
        <v>53</v>
      </c>
      <c r="C12" s="83"/>
      <c r="D12" s="83"/>
      <c r="E12" s="83"/>
      <c r="F12" s="83"/>
      <c r="G12" s="83"/>
      <c r="H12" s="83"/>
      <c r="I12" s="83"/>
    </row>
    <row r="13" spans="1:14">
      <c r="A13" s="25" t="s">
        <v>46</v>
      </c>
      <c r="B13" s="84" t="s">
        <v>54</v>
      </c>
      <c r="C13" s="84"/>
      <c r="D13" s="84"/>
      <c r="E13" s="84"/>
      <c r="F13" s="84"/>
      <c r="G13" s="84"/>
      <c r="H13" s="84"/>
      <c r="I13" s="84"/>
    </row>
    <row r="14" spans="1:14">
      <c r="A14" s="24" t="s">
        <v>47</v>
      </c>
      <c r="B14" s="83" t="s">
        <v>55</v>
      </c>
      <c r="C14" s="83"/>
      <c r="D14" s="83"/>
      <c r="E14" s="83"/>
      <c r="F14" s="83"/>
      <c r="G14" s="83"/>
      <c r="H14" s="83"/>
      <c r="I14" s="83"/>
    </row>
    <row r="15" spans="1:14">
      <c r="A15" s="25" t="s">
        <v>49</v>
      </c>
      <c r="B15" s="84" t="s">
        <v>56</v>
      </c>
      <c r="C15" s="84"/>
      <c r="D15" s="84"/>
      <c r="E15" s="84"/>
      <c r="F15" s="84"/>
      <c r="G15" s="84"/>
      <c r="H15" s="84"/>
      <c r="I15" s="84"/>
    </row>
  </sheetData>
  <mergeCells count="6">
    <mergeCell ref="B15:I15"/>
    <mergeCell ref="A1:I2"/>
    <mergeCell ref="A3:N3"/>
    <mergeCell ref="B12:I12"/>
    <mergeCell ref="B13:I13"/>
    <mergeCell ref="B14:I14"/>
  </mergeCells>
  <phoneticPr fontId="13" type="noConversion"/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3"/>
  <sheetViews>
    <sheetView showGridLines="0" workbookViewId="0">
      <selection sqref="A1:N2"/>
    </sheetView>
  </sheetViews>
  <sheetFormatPr defaultRowHeight="14"/>
  <cols>
    <col min="1" max="1" width="13" customWidth="1"/>
    <col min="2" max="2" width="15" customWidth="1"/>
    <col min="3" max="3" width="12" customWidth="1"/>
    <col min="4" max="4" width="15" customWidth="1"/>
    <col min="5" max="6" width="11" customWidth="1"/>
    <col min="7" max="7" width="17" customWidth="1"/>
    <col min="8" max="8" width="13" customWidth="1"/>
    <col min="9" max="9" width="16" customWidth="1"/>
    <col min="10" max="10" width="12" customWidth="1"/>
    <col min="11" max="11" width="14" customWidth="1"/>
    <col min="12" max="12" width="17" customWidth="1"/>
    <col min="13" max="13" width="19" customWidth="1"/>
    <col min="14" max="14" width="13" customWidth="1"/>
  </cols>
  <sheetData>
    <row r="1" spans="1:14">
      <c r="A1" s="29" t="s">
        <v>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>
      <c r="A3" s="30" t="s">
        <v>58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>
      <c r="A5" s="1" t="s">
        <v>13</v>
      </c>
      <c r="B5" s="2" t="s">
        <v>42</v>
      </c>
      <c r="C5" s="2" t="s">
        <v>44</v>
      </c>
      <c r="D5" s="2" t="s">
        <v>43</v>
      </c>
      <c r="E5" s="2" t="s">
        <v>24</v>
      </c>
      <c r="F5" s="2" t="s">
        <v>25</v>
      </c>
      <c r="G5" s="2" t="s">
        <v>59</v>
      </c>
      <c r="H5" s="2" t="s">
        <v>60</v>
      </c>
      <c r="I5" s="2" t="s">
        <v>45</v>
      </c>
      <c r="J5" s="2" t="s">
        <v>61</v>
      </c>
      <c r="K5" s="2" t="s">
        <v>18</v>
      </c>
      <c r="L5" s="2" t="s">
        <v>62</v>
      </c>
      <c r="M5" s="2" t="s">
        <v>22</v>
      </c>
      <c r="N5" s="3" t="s">
        <v>26</v>
      </c>
    </row>
    <row r="6" spans="1:14">
      <c r="A6" s="4" t="s">
        <v>27</v>
      </c>
      <c r="B6" s="4" t="s">
        <v>46</v>
      </c>
      <c r="C6" s="7">
        <v>42000</v>
      </c>
      <c r="D6" s="5">
        <v>3.4000000000000002E-2</v>
      </c>
      <c r="E6" s="8">
        <f t="shared" ref="E6:E53" si="0">ROUND(C6*D6,0)</f>
        <v>1428</v>
      </c>
      <c r="F6" s="9">
        <v>86</v>
      </c>
      <c r="G6" s="10">
        <f t="shared" ref="G6:G53" si="1">E6*F6</f>
        <v>122808</v>
      </c>
      <c r="H6" s="11">
        <v>4.4999999999999998E-2</v>
      </c>
      <c r="I6" s="10">
        <f t="shared" ref="I6:I53" si="2">G6*(1-H6)</f>
        <v>117281.64</v>
      </c>
      <c r="J6" s="11">
        <f>Assumptions!B6</f>
        <v>0.46</v>
      </c>
      <c r="K6" s="10">
        <f t="shared" ref="K6:K53" si="3">I6*J6</f>
        <v>53949.554400000001</v>
      </c>
      <c r="L6" s="10">
        <f>I6*Assumptions!C6</f>
        <v>23456.328000000001</v>
      </c>
      <c r="M6" s="10">
        <f t="shared" ref="M6:M53" si="4">I6-K6-L6</f>
        <v>39875.757599999997</v>
      </c>
      <c r="N6" s="5">
        <v>0.35</v>
      </c>
    </row>
    <row r="7" spans="1:14">
      <c r="A7" s="4" t="s">
        <v>27</v>
      </c>
      <c r="B7" s="4" t="s">
        <v>47</v>
      </c>
      <c r="C7" s="7">
        <v>32000</v>
      </c>
      <c r="D7" s="5">
        <v>2.5999999999999999E-2</v>
      </c>
      <c r="E7" s="8">
        <f t="shared" si="0"/>
        <v>832</v>
      </c>
      <c r="F7" s="9">
        <v>79</v>
      </c>
      <c r="G7" s="10">
        <f t="shared" si="1"/>
        <v>65728</v>
      </c>
      <c r="H7" s="11">
        <v>5.8000000000000003E-2</v>
      </c>
      <c r="I7" s="10">
        <f t="shared" si="2"/>
        <v>61915.775999999998</v>
      </c>
      <c r="J7" s="11">
        <f>Assumptions!B7</f>
        <v>0.49</v>
      </c>
      <c r="K7" s="10">
        <f t="shared" si="3"/>
        <v>30338.730239999997</v>
      </c>
      <c r="L7" s="10">
        <f>I7*Assumptions!C7</f>
        <v>16098.10176</v>
      </c>
      <c r="M7" s="10">
        <f t="shared" si="4"/>
        <v>15478.944000000001</v>
      </c>
      <c r="N7" s="5">
        <v>0.28000000000000003</v>
      </c>
    </row>
    <row r="8" spans="1:14">
      <c r="A8" s="4" t="s">
        <v>27</v>
      </c>
      <c r="B8" s="4" t="s">
        <v>48</v>
      </c>
      <c r="C8" s="7">
        <v>24000</v>
      </c>
      <c r="D8" s="5">
        <v>5.8000000000000003E-2</v>
      </c>
      <c r="E8" s="8">
        <f t="shared" si="0"/>
        <v>1392</v>
      </c>
      <c r="F8" s="9">
        <v>94</v>
      </c>
      <c r="G8" s="10">
        <f t="shared" si="1"/>
        <v>130848</v>
      </c>
      <c r="H8" s="11">
        <v>3.5999999999999997E-2</v>
      </c>
      <c r="I8" s="10">
        <f t="shared" si="2"/>
        <v>126137.47199999999</v>
      </c>
      <c r="J8" s="11">
        <f>Assumptions!B8</f>
        <v>0.44</v>
      </c>
      <c r="K8" s="10">
        <f t="shared" si="3"/>
        <v>55500.487679999998</v>
      </c>
      <c r="L8" s="10">
        <f>I8*Assumptions!C8</f>
        <v>6306.8735999999999</v>
      </c>
      <c r="M8" s="10">
        <f t="shared" si="4"/>
        <v>64330.11071999999</v>
      </c>
      <c r="N8" s="5">
        <v>0.62</v>
      </c>
    </row>
    <row r="9" spans="1:14">
      <c r="A9" s="4" t="s">
        <v>27</v>
      </c>
      <c r="B9" s="4" t="s">
        <v>49</v>
      </c>
      <c r="C9" s="7">
        <v>18000</v>
      </c>
      <c r="D9" s="5">
        <v>3.1E-2</v>
      </c>
      <c r="E9" s="8">
        <f t="shared" si="0"/>
        <v>558</v>
      </c>
      <c r="F9" s="9">
        <v>83</v>
      </c>
      <c r="G9" s="10">
        <f t="shared" si="1"/>
        <v>46314</v>
      </c>
      <c r="H9" s="11">
        <v>4.9000000000000002E-2</v>
      </c>
      <c r="I9" s="10">
        <f t="shared" si="2"/>
        <v>44044.614000000001</v>
      </c>
      <c r="J9" s="11">
        <f>Assumptions!B9</f>
        <v>0.48</v>
      </c>
      <c r="K9" s="10">
        <f t="shared" si="3"/>
        <v>21141.414720000001</v>
      </c>
      <c r="L9" s="10">
        <f>I9*Assumptions!C9</f>
        <v>5285.3536800000002</v>
      </c>
      <c r="M9" s="10">
        <f t="shared" si="4"/>
        <v>17617.845600000001</v>
      </c>
      <c r="N9" s="5">
        <v>0.4</v>
      </c>
    </row>
    <row r="10" spans="1:14">
      <c r="A10" s="4" t="s">
        <v>28</v>
      </c>
      <c r="B10" s="4" t="s">
        <v>46</v>
      </c>
      <c r="C10" s="7">
        <v>42840</v>
      </c>
      <c r="D10" s="5">
        <v>3.4636363636363639E-2</v>
      </c>
      <c r="E10" s="8">
        <f t="shared" si="0"/>
        <v>1484</v>
      </c>
      <c r="F10" s="9">
        <v>87.031999999999996</v>
      </c>
      <c r="G10" s="10">
        <f t="shared" si="1"/>
        <v>129155.488</v>
      </c>
      <c r="H10" s="11">
        <v>4.4999999999999998E-2</v>
      </c>
      <c r="I10" s="10">
        <f t="shared" si="2"/>
        <v>123343.49103999999</v>
      </c>
      <c r="J10" s="11">
        <f>Assumptions!B6</f>
        <v>0.46</v>
      </c>
      <c r="K10" s="10">
        <f t="shared" si="3"/>
        <v>56738.005878399999</v>
      </c>
      <c r="L10" s="10">
        <f>I10*Assumptions!C6</f>
        <v>24668.698208000002</v>
      </c>
      <c r="M10" s="10">
        <f t="shared" si="4"/>
        <v>41936.786953599993</v>
      </c>
      <c r="N10" s="5">
        <v>0.35818181818181816</v>
      </c>
    </row>
    <row r="11" spans="1:14">
      <c r="A11" s="4" t="s">
        <v>28</v>
      </c>
      <c r="B11" s="4" t="s">
        <v>47</v>
      </c>
      <c r="C11" s="7">
        <v>32448</v>
      </c>
      <c r="D11" s="5">
        <v>2.6545454545454546E-2</v>
      </c>
      <c r="E11" s="8">
        <f t="shared" si="0"/>
        <v>861</v>
      </c>
      <c r="F11" s="9">
        <v>79.948000000000008</v>
      </c>
      <c r="G11" s="10">
        <f t="shared" si="1"/>
        <v>68835.228000000003</v>
      </c>
      <c r="H11" s="11">
        <v>5.8000000000000003E-2</v>
      </c>
      <c r="I11" s="10">
        <f t="shared" si="2"/>
        <v>64842.784776</v>
      </c>
      <c r="J11" s="11">
        <f>Assumptions!B7</f>
        <v>0.49</v>
      </c>
      <c r="K11" s="10">
        <f t="shared" si="3"/>
        <v>31772.964540239998</v>
      </c>
      <c r="L11" s="10">
        <f>I11*Assumptions!C7</f>
        <v>16859.124041760002</v>
      </c>
      <c r="M11" s="10">
        <f t="shared" si="4"/>
        <v>16210.696194</v>
      </c>
      <c r="N11" s="5">
        <v>0.28636363636363638</v>
      </c>
    </row>
    <row r="12" spans="1:14">
      <c r="A12" s="4" t="s">
        <v>28</v>
      </c>
      <c r="B12" s="4" t="s">
        <v>48</v>
      </c>
      <c r="C12" s="7">
        <v>24912</v>
      </c>
      <c r="D12" s="5">
        <v>5.9363636363636368E-2</v>
      </c>
      <c r="E12" s="8">
        <f t="shared" si="0"/>
        <v>1479</v>
      </c>
      <c r="F12" s="9">
        <v>95.128</v>
      </c>
      <c r="G12" s="10">
        <f t="shared" si="1"/>
        <v>140694.31200000001</v>
      </c>
      <c r="H12" s="11">
        <v>3.5999999999999997E-2</v>
      </c>
      <c r="I12" s="10">
        <f t="shared" si="2"/>
        <v>135629.31676799999</v>
      </c>
      <c r="J12" s="11">
        <f>Assumptions!B8</f>
        <v>0.44</v>
      </c>
      <c r="K12" s="10">
        <f t="shared" si="3"/>
        <v>59676.899377919995</v>
      </c>
      <c r="L12" s="10">
        <f>I12*Assumptions!C8</f>
        <v>6781.4658383999995</v>
      </c>
      <c r="M12" s="10">
        <f t="shared" si="4"/>
        <v>69170.951551679987</v>
      </c>
      <c r="N12" s="5">
        <v>0.62727272727272732</v>
      </c>
    </row>
    <row r="13" spans="1:14">
      <c r="A13" s="4" t="s">
        <v>28</v>
      </c>
      <c r="B13" s="4" t="s">
        <v>49</v>
      </c>
      <c r="C13" s="7">
        <v>18396</v>
      </c>
      <c r="D13" s="5">
        <v>3.1545454545454543E-2</v>
      </c>
      <c r="E13" s="8">
        <f t="shared" si="0"/>
        <v>580</v>
      </c>
      <c r="F13" s="9">
        <v>83.995999999999995</v>
      </c>
      <c r="G13" s="10">
        <f t="shared" si="1"/>
        <v>48717.68</v>
      </c>
      <c r="H13" s="11">
        <v>4.9000000000000002E-2</v>
      </c>
      <c r="I13" s="10">
        <f t="shared" si="2"/>
        <v>46330.513679999996</v>
      </c>
      <c r="J13" s="11">
        <f>Assumptions!B9</f>
        <v>0.48</v>
      </c>
      <c r="K13" s="10">
        <f t="shared" si="3"/>
        <v>22238.646566399999</v>
      </c>
      <c r="L13" s="10">
        <f>I13*Assumptions!C9</f>
        <v>5559.6616415999997</v>
      </c>
      <c r="M13" s="10">
        <f t="shared" si="4"/>
        <v>18532.205471999998</v>
      </c>
      <c r="N13" s="5">
        <v>0.40636363636363637</v>
      </c>
    </row>
    <row r="14" spans="1:14">
      <c r="A14" s="4" t="s">
        <v>29</v>
      </c>
      <c r="B14" s="4" t="s">
        <v>46</v>
      </c>
      <c r="C14" s="7">
        <v>43697</v>
      </c>
      <c r="D14" s="5">
        <v>3.5272727272727275E-2</v>
      </c>
      <c r="E14" s="8">
        <f t="shared" si="0"/>
        <v>1541</v>
      </c>
      <c r="F14" s="9">
        <v>88.064000000000007</v>
      </c>
      <c r="G14" s="10">
        <f t="shared" si="1"/>
        <v>135706.62400000001</v>
      </c>
      <c r="H14" s="11">
        <v>4.4999999999999998E-2</v>
      </c>
      <c r="I14" s="10">
        <f t="shared" si="2"/>
        <v>129599.82592</v>
      </c>
      <c r="J14" s="11">
        <f>Assumptions!B6</f>
        <v>0.46</v>
      </c>
      <c r="K14" s="10">
        <f t="shared" si="3"/>
        <v>59615.919923200003</v>
      </c>
      <c r="L14" s="10">
        <f>I14*Assumptions!C6</f>
        <v>25919.965184000001</v>
      </c>
      <c r="M14" s="10">
        <f t="shared" si="4"/>
        <v>44063.940812799992</v>
      </c>
      <c r="N14" s="5">
        <v>0.36636363636363634</v>
      </c>
    </row>
    <row r="15" spans="1:14">
      <c r="A15" s="4" t="s">
        <v>29</v>
      </c>
      <c r="B15" s="4" t="s">
        <v>47</v>
      </c>
      <c r="C15" s="7">
        <v>32902</v>
      </c>
      <c r="D15" s="5">
        <v>2.7090909090909089E-2</v>
      </c>
      <c r="E15" s="8">
        <f t="shared" si="0"/>
        <v>891</v>
      </c>
      <c r="F15" s="9">
        <v>80.896000000000001</v>
      </c>
      <c r="G15" s="10">
        <f t="shared" si="1"/>
        <v>72078.335999999996</v>
      </c>
      <c r="H15" s="11">
        <v>5.8000000000000003E-2</v>
      </c>
      <c r="I15" s="10">
        <f t="shared" si="2"/>
        <v>67897.792511999985</v>
      </c>
      <c r="J15" s="11">
        <f>Assumptions!B7</f>
        <v>0.49</v>
      </c>
      <c r="K15" s="10">
        <f t="shared" si="3"/>
        <v>33269.918330879991</v>
      </c>
      <c r="L15" s="10">
        <f>I15*Assumptions!C7</f>
        <v>17653.426053119998</v>
      </c>
      <c r="M15" s="10">
        <f t="shared" si="4"/>
        <v>16974.448127999996</v>
      </c>
      <c r="N15" s="5">
        <v>0.29272727272727272</v>
      </c>
    </row>
    <row r="16" spans="1:14">
      <c r="A16" s="4" t="s">
        <v>29</v>
      </c>
      <c r="B16" s="4" t="s">
        <v>48</v>
      </c>
      <c r="C16" s="7">
        <v>25859</v>
      </c>
      <c r="D16" s="5">
        <v>6.0727272727272727E-2</v>
      </c>
      <c r="E16" s="8">
        <f t="shared" si="0"/>
        <v>1570</v>
      </c>
      <c r="F16" s="9">
        <v>96.256</v>
      </c>
      <c r="G16" s="10">
        <f t="shared" si="1"/>
        <v>151121.92000000001</v>
      </c>
      <c r="H16" s="11">
        <v>3.5999999999999997E-2</v>
      </c>
      <c r="I16" s="10">
        <f t="shared" si="2"/>
        <v>145681.53088000001</v>
      </c>
      <c r="J16" s="11">
        <f>Assumptions!B8</f>
        <v>0.44</v>
      </c>
      <c r="K16" s="10">
        <f t="shared" si="3"/>
        <v>64099.873587200003</v>
      </c>
      <c r="L16" s="10">
        <f>I16*Assumptions!C8</f>
        <v>7284.0765440000005</v>
      </c>
      <c r="M16" s="10">
        <f t="shared" si="4"/>
        <v>74297.580748799999</v>
      </c>
      <c r="N16" s="5">
        <v>0.63454545454545452</v>
      </c>
    </row>
    <row r="17" spans="1:14">
      <c r="A17" s="4" t="s">
        <v>29</v>
      </c>
      <c r="B17" s="4" t="s">
        <v>49</v>
      </c>
      <c r="C17" s="7">
        <v>18801</v>
      </c>
      <c r="D17" s="5">
        <v>3.2090909090909094E-2</v>
      </c>
      <c r="E17" s="8">
        <f t="shared" si="0"/>
        <v>603</v>
      </c>
      <c r="F17" s="9">
        <v>84.992000000000004</v>
      </c>
      <c r="G17" s="10">
        <f t="shared" si="1"/>
        <v>51250.175999999999</v>
      </c>
      <c r="H17" s="11">
        <v>4.9000000000000002E-2</v>
      </c>
      <c r="I17" s="10">
        <f t="shared" si="2"/>
        <v>48738.917375999998</v>
      </c>
      <c r="J17" s="11">
        <f>Assumptions!B9</f>
        <v>0.48</v>
      </c>
      <c r="K17" s="10">
        <f t="shared" si="3"/>
        <v>23394.680340479998</v>
      </c>
      <c r="L17" s="10">
        <f>I17*Assumptions!C9</f>
        <v>5848.6700851199994</v>
      </c>
      <c r="M17" s="10">
        <f t="shared" si="4"/>
        <v>19495.5669504</v>
      </c>
      <c r="N17" s="5">
        <v>0.41272727272727272</v>
      </c>
    </row>
    <row r="18" spans="1:14">
      <c r="A18" s="4" t="s">
        <v>30</v>
      </c>
      <c r="B18" s="4" t="s">
        <v>46</v>
      </c>
      <c r="C18" s="7">
        <v>44571</v>
      </c>
      <c r="D18" s="5">
        <v>3.5909090909090911E-2</v>
      </c>
      <c r="E18" s="8">
        <f t="shared" si="0"/>
        <v>1601</v>
      </c>
      <c r="F18" s="9">
        <v>89.096000000000004</v>
      </c>
      <c r="G18" s="10">
        <f t="shared" si="1"/>
        <v>142642.696</v>
      </c>
      <c r="H18" s="11">
        <v>4.4999999999999998E-2</v>
      </c>
      <c r="I18" s="10">
        <f t="shared" si="2"/>
        <v>136223.77468</v>
      </c>
      <c r="J18" s="11">
        <f>Assumptions!B6</f>
        <v>0.46</v>
      </c>
      <c r="K18" s="10">
        <f t="shared" si="3"/>
        <v>62662.936352800003</v>
      </c>
      <c r="L18" s="10">
        <f>I18*Assumptions!C6</f>
        <v>27244.754936000001</v>
      </c>
      <c r="M18" s="10">
        <f t="shared" si="4"/>
        <v>46316.083391200009</v>
      </c>
      <c r="N18" s="5">
        <v>0.37454545454545451</v>
      </c>
    </row>
    <row r="19" spans="1:14">
      <c r="A19" s="4" t="s">
        <v>30</v>
      </c>
      <c r="B19" s="4" t="s">
        <v>47</v>
      </c>
      <c r="C19" s="7">
        <v>33363</v>
      </c>
      <c r="D19" s="5">
        <v>2.7636363636363636E-2</v>
      </c>
      <c r="E19" s="8">
        <f t="shared" si="0"/>
        <v>922</v>
      </c>
      <c r="F19" s="9">
        <v>81.844000000000008</v>
      </c>
      <c r="G19" s="10">
        <f t="shared" si="1"/>
        <v>75460.168000000005</v>
      </c>
      <c r="H19" s="11">
        <v>5.8000000000000003E-2</v>
      </c>
      <c r="I19" s="10">
        <f t="shared" si="2"/>
        <v>71083.478256000002</v>
      </c>
      <c r="J19" s="11">
        <f>Assumptions!B7</f>
        <v>0.49</v>
      </c>
      <c r="K19" s="10">
        <f t="shared" si="3"/>
        <v>34830.904345440002</v>
      </c>
      <c r="L19" s="10">
        <f>I19*Assumptions!C7</f>
        <v>18481.70434656</v>
      </c>
      <c r="M19" s="10">
        <f t="shared" si="4"/>
        <v>17770.869564000001</v>
      </c>
      <c r="N19" s="5">
        <v>0.29909090909090907</v>
      </c>
    </row>
    <row r="20" spans="1:14">
      <c r="A20" s="4" t="s">
        <v>30</v>
      </c>
      <c r="B20" s="4" t="s">
        <v>48</v>
      </c>
      <c r="C20" s="7">
        <v>26841</v>
      </c>
      <c r="D20" s="5">
        <v>6.2090909090909092E-2</v>
      </c>
      <c r="E20" s="8">
        <f t="shared" si="0"/>
        <v>1667</v>
      </c>
      <c r="F20" s="9">
        <v>97.384</v>
      </c>
      <c r="G20" s="10">
        <f t="shared" si="1"/>
        <v>162339.128</v>
      </c>
      <c r="H20" s="11">
        <v>3.5999999999999997E-2</v>
      </c>
      <c r="I20" s="10">
        <f t="shared" si="2"/>
        <v>156494.91939199998</v>
      </c>
      <c r="J20" s="11">
        <f>Assumptions!B8</f>
        <v>0.44</v>
      </c>
      <c r="K20" s="10">
        <f t="shared" si="3"/>
        <v>68857.764532479996</v>
      </c>
      <c r="L20" s="10">
        <f>I20*Assumptions!C8</f>
        <v>7824.7459695999996</v>
      </c>
      <c r="M20" s="10">
        <f t="shared" si="4"/>
        <v>79812.408889919985</v>
      </c>
      <c r="N20" s="5">
        <v>0.64181818181818184</v>
      </c>
    </row>
    <row r="21" spans="1:14">
      <c r="A21" s="4" t="s">
        <v>30</v>
      </c>
      <c r="B21" s="4" t="s">
        <v>49</v>
      </c>
      <c r="C21" s="7">
        <v>19214</v>
      </c>
      <c r="D21" s="5">
        <v>3.2636363636363637E-2</v>
      </c>
      <c r="E21" s="8">
        <f t="shared" si="0"/>
        <v>627</v>
      </c>
      <c r="F21" s="9">
        <v>85.988</v>
      </c>
      <c r="G21" s="10">
        <f t="shared" si="1"/>
        <v>53914.476000000002</v>
      </c>
      <c r="H21" s="11">
        <v>4.9000000000000002E-2</v>
      </c>
      <c r="I21" s="10">
        <f t="shared" si="2"/>
        <v>51272.666676000001</v>
      </c>
      <c r="J21" s="11">
        <f>Assumptions!B9</f>
        <v>0.48</v>
      </c>
      <c r="K21" s="10">
        <f t="shared" si="3"/>
        <v>24610.880004480001</v>
      </c>
      <c r="L21" s="10">
        <f>I21*Assumptions!C9</f>
        <v>6152.7200011200002</v>
      </c>
      <c r="M21" s="10">
        <f t="shared" si="4"/>
        <v>20509.0666704</v>
      </c>
      <c r="N21" s="5">
        <v>0.41909090909090907</v>
      </c>
    </row>
    <row r="22" spans="1:14">
      <c r="A22" s="4" t="s">
        <v>31</v>
      </c>
      <c r="B22" s="4" t="s">
        <v>46</v>
      </c>
      <c r="C22" s="7">
        <v>45462</v>
      </c>
      <c r="D22" s="5">
        <v>3.6545454545454548E-2</v>
      </c>
      <c r="E22" s="8">
        <f t="shared" si="0"/>
        <v>1661</v>
      </c>
      <c r="F22" s="9">
        <v>90.128</v>
      </c>
      <c r="G22" s="10">
        <f t="shared" si="1"/>
        <v>149702.60800000001</v>
      </c>
      <c r="H22" s="11">
        <v>4.4999999999999998E-2</v>
      </c>
      <c r="I22" s="10">
        <f t="shared" si="2"/>
        <v>142965.99064</v>
      </c>
      <c r="J22" s="11">
        <f>Assumptions!B6</f>
        <v>0.46</v>
      </c>
      <c r="K22" s="10">
        <f t="shared" si="3"/>
        <v>65764.355694400001</v>
      </c>
      <c r="L22" s="10">
        <f>I22*Assumptions!C6</f>
        <v>28593.198128000004</v>
      </c>
      <c r="M22" s="10">
        <f t="shared" si="4"/>
        <v>48608.436817599999</v>
      </c>
      <c r="N22" s="5">
        <v>0.38272727272727269</v>
      </c>
    </row>
    <row r="23" spans="1:14">
      <c r="A23" s="4" t="s">
        <v>31</v>
      </c>
      <c r="B23" s="4" t="s">
        <v>47</v>
      </c>
      <c r="C23" s="7">
        <v>33830</v>
      </c>
      <c r="D23" s="5">
        <v>2.8181818181818183E-2</v>
      </c>
      <c r="E23" s="8">
        <f t="shared" si="0"/>
        <v>953</v>
      </c>
      <c r="F23" s="9">
        <v>82.792000000000002</v>
      </c>
      <c r="G23" s="10">
        <f t="shared" si="1"/>
        <v>78900.775999999998</v>
      </c>
      <c r="H23" s="11">
        <v>5.8000000000000003E-2</v>
      </c>
      <c r="I23" s="10">
        <f t="shared" si="2"/>
        <v>74324.530992</v>
      </c>
      <c r="J23" s="11">
        <f>Assumptions!B7</f>
        <v>0.49</v>
      </c>
      <c r="K23" s="10">
        <f t="shared" si="3"/>
        <v>36419.020186080001</v>
      </c>
      <c r="L23" s="10">
        <f>I23*Assumptions!C7</f>
        <v>19324.378057919999</v>
      </c>
      <c r="M23" s="10">
        <f t="shared" si="4"/>
        <v>18581.132748</v>
      </c>
      <c r="N23" s="5">
        <v>0.30545454545454548</v>
      </c>
    </row>
    <row r="24" spans="1:14">
      <c r="A24" s="4" t="s">
        <v>31</v>
      </c>
      <c r="B24" s="4" t="s">
        <v>48</v>
      </c>
      <c r="C24" s="7">
        <v>27861</v>
      </c>
      <c r="D24" s="5">
        <v>6.3454545454545458E-2</v>
      </c>
      <c r="E24" s="8">
        <f t="shared" si="0"/>
        <v>1768</v>
      </c>
      <c r="F24" s="9">
        <v>98.512</v>
      </c>
      <c r="G24" s="10">
        <f t="shared" si="1"/>
        <v>174169.21600000001</v>
      </c>
      <c r="H24" s="11">
        <v>3.5999999999999997E-2</v>
      </c>
      <c r="I24" s="10">
        <f t="shared" si="2"/>
        <v>167899.124224</v>
      </c>
      <c r="J24" s="11">
        <f>Assumptions!B8</f>
        <v>0.44</v>
      </c>
      <c r="K24" s="10">
        <f t="shared" si="3"/>
        <v>73875.614658560007</v>
      </c>
      <c r="L24" s="10">
        <f>I24*Assumptions!C8</f>
        <v>8394.9562112000003</v>
      </c>
      <c r="M24" s="10">
        <f t="shared" si="4"/>
        <v>85628.553354239993</v>
      </c>
      <c r="N24" s="5">
        <v>0.64909090909090905</v>
      </c>
    </row>
    <row r="25" spans="1:14">
      <c r="A25" s="4" t="s">
        <v>31</v>
      </c>
      <c r="B25" s="4" t="s">
        <v>49</v>
      </c>
      <c r="C25" s="7">
        <v>19637</v>
      </c>
      <c r="D25" s="5">
        <v>3.318181818181818E-2</v>
      </c>
      <c r="E25" s="8">
        <f t="shared" si="0"/>
        <v>652</v>
      </c>
      <c r="F25" s="9">
        <v>86.984000000000009</v>
      </c>
      <c r="G25" s="10">
        <f t="shared" si="1"/>
        <v>56713.568000000007</v>
      </c>
      <c r="H25" s="11">
        <v>4.9000000000000002E-2</v>
      </c>
      <c r="I25" s="10">
        <f t="shared" si="2"/>
        <v>53934.603168000001</v>
      </c>
      <c r="J25" s="11">
        <f>Assumptions!B9</f>
        <v>0.48</v>
      </c>
      <c r="K25" s="10">
        <f t="shared" si="3"/>
        <v>25888.609520639999</v>
      </c>
      <c r="L25" s="10">
        <f>I25*Assumptions!C9</f>
        <v>6472.1523801599997</v>
      </c>
      <c r="M25" s="10">
        <f t="shared" si="4"/>
        <v>21573.841267200005</v>
      </c>
      <c r="N25" s="5">
        <v>0.42545454545454547</v>
      </c>
    </row>
    <row r="26" spans="1:14">
      <c r="A26" s="4" t="s">
        <v>32</v>
      </c>
      <c r="B26" s="4" t="s">
        <v>46</v>
      </c>
      <c r="C26" s="7">
        <v>46371</v>
      </c>
      <c r="D26" s="5">
        <v>3.7181818181818184E-2</v>
      </c>
      <c r="E26" s="8">
        <f t="shared" si="0"/>
        <v>1724</v>
      </c>
      <c r="F26" s="9">
        <v>91.160000000000011</v>
      </c>
      <c r="G26" s="10">
        <f t="shared" si="1"/>
        <v>157159.84000000003</v>
      </c>
      <c r="H26" s="11">
        <v>4.4999999999999998E-2</v>
      </c>
      <c r="I26" s="10">
        <f t="shared" si="2"/>
        <v>150087.64720000001</v>
      </c>
      <c r="J26" s="11">
        <f>Assumptions!B6</f>
        <v>0.46</v>
      </c>
      <c r="K26" s="10">
        <f t="shared" si="3"/>
        <v>69040.317712000004</v>
      </c>
      <c r="L26" s="10">
        <f>I26*Assumptions!C6</f>
        <v>30017.529440000002</v>
      </c>
      <c r="M26" s="10">
        <f t="shared" si="4"/>
        <v>51029.800048000005</v>
      </c>
      <c r="N26" s="5">
        <v>0.39090909090909087</v>
      </c>
    </row>
    <row r="27" spans="1:14">
      <c r="A27" s="4" t="s">
        <v>32</v>
      </c>
      <c r="B27" s="4" t="s">
        <v>47</v>
      </c>
      <c r="C27" s="7">
        <v>34304</v>
      </c>
      <c r="D27" s="5">
        <v>2.8727272727272726E-2</v>
      </c>
      <c r="E27" s="8">
        <f t="shared" si="0"/>
        <v>985</v>
      </c>
      <c r="F27" s="9">
        <v>83.740000000000009</v>
      </c>
      <c r="G27" s="10">
        <f t="shared" si="1"/>
        <v>82483.900000000009</v>
      </c>
      <c r="H27" s="11">
        <v>5.8000000000000003E-2</v>
      </c>
      <c r="I27" s="10">
        <f t="shared" si="2"/>
        <v>77699.833800000008</v>
      </c>
      <c r="J27" s="11">
        <f>Assumptions!B7</f>
        <v>0.49</v>
      </c>
      <c r="K27" s="10">
        <f t="shared" si="3"/>
        <v>38072.918562000006</v>
      </c>
      <c r="L27" s="10">
        <f>I27*Assumptions!C7</f>
        <v>20201.956788000003</v>
      </c>
      <c r="M27" s="10">
        <f t="shared" si="4"/>
        <v>19424.958449999998</v>
      </c>
      <c r="N27" s="5">
        <v>0.31181818181818183</v>
      </c>
    </row>
    <row r="28" spans="1:14">
      <c r="A28" s="4" t="s">
        <v>32</v>
      </c>
      <c r="B28" s="4" t="s">
        <v>48</v>
      </c>
      <c r="C28" s="7">
        <v>28920</v>
      </c>
      <c r="D28" s="5">
        <v>6.4818181818181816E-2</v>
      </c>
      <c r="E28" s="8">
        <f t="shared" si="0"/>
        <v>1875</v>
      </c>
      <c r="F28" s="9">
        <v>99.64</v>
      </c>
      <c r="G28" s="10">
        <f t="shared" si="1"/>
        <v>186825</v>
      </c>
      <c r="H28" s="11">
        <v>3.5999999999999997E-2</v>
      </c>
      <c r="I28" s="10">
        <f t="shared" si="2"/>
        <v>180099.3</v>
      </c>
      <c r="J28" s="11">
        <f>Assumptions!B8</f>
        <v>0.44</v>
      </c>
      <c r="K28" s="10">
        <f t="shared" si="3"/>
        <v>79243.691999999995</v>
      </c>
      <c r="L28" s="10">
        <f>I28*Assumptions!C8</f>
        <v>9004.9650000000001</v>
      </c>
      <c r="M28" s="10">
        <f t="shared" si="4"/>
        <v>91850.642999999996</v>
      </c>
      <c r="N28" s="5">
        <v>0.65636363636363637</v>
      </c>
    </row>
    <row r="29" spans="1:14">
      <c r="A29" s="4" t="s">
        <v>32</v>
      </c>
      <c r="B29" s="4" t="s">
        <v>49</v>
      </c>
      <c r="C29" s="7">
        <v>20069</v>
      </c>
      <c r="D29" s="5">
        <v>3.3727272727272724E-2</v>
      </c>
      <c r="E29" s="8">
        <f t="shared" si="0"/>
        <v>677</v>
      </c>
      <c r="F29" s="9">
        <v>87.98</v>
      </c>
      <c r="G29" s="10">
        <f t="shared" si="1"/>
        <v>59562.46</v>
      </c>
      <c r="H29" s="11">
        <v>4.9000000000000002E-2</v>
      </c>
      <c r="I29" s="10">
        <f t="shared" si="2"/>
        <v>56643.899459999993</v>
      </c>
      <c r="J29" s="11">
        <f>Assumptions!B9</f>
        <v>0.48</v>
      </c>
      <c r="K29" s="10">
        <f t="shared" si="3"/>
        <v>27189.071740799995</v>
      </c>
      <c r="L29" s="10">
        <f>I29*Assumptions!C9</f>
        <v>6797.2679351999986</v>
      </c>
      <c r="M29" s="10">
        <f t="shared" si="4"/>
        <v>22657.559784000001</v>
      </c>
      <c r="N29" s="5">
        <v>0.43181818181818182</v>
      </c>
    </row>
    <row r="30" spans="1:14">
      <c r="A30" s="4" t="s">
        <v>33</v>
      </c>
      <c r="B30" s="4" t="s">
        <v>46</v>
      </c>
      <c r="C30" s="7">
        <v>45407</v>
      </c>
      <c r="D30" s="5">
        <v>3.781818181818182E-2</v>
      </c>
      <c r="E30" s="8">
        <f t="shared" si="0"/>
        <v>1717</v>
      </c>
      <c r="F30" s="9">
        <v>92.192000000000007</v>
      </c>
      <c r="G30" s="10">
        <f t="shared" si="1"/>
        <v>158293.66400000002</v>
      </c>
      <c r="H30" s="11">
        <v>4.4999999999999998E-2</v>
      </c>
      <c r="I30" s="10">
        <f t="shared" si="2"/>
        <v>151170.44912</v>
      </c>
      <c r="J30" s="11">
        <f>Assumptions!B6</f>
        <v>0.46</v>
      </c>
      <c r="K30" s="10">
        <f t="shared" si="3"/>
        <v>69538.406595200009</v>
      </c>
      <c r="L30" s="10">
        <f>I30*Assumptions!C6</f>
        <v>30234.089824000002</v>
      </c>
      <c r="M30" s="10">
        <f t="shared" si="4"/>
        <v>51397.952700799993</v>
      </c>
      <c r="N30" s="5">
        <v>0.39909090909090905</v>
      </c>
    </row>
    <row r="31" spans="1:14">
      <c r="A31" s="4" t="s">
        <v>33</v>
      </c>
      <c r="B31" s="4" t="s">
        <v>47</v>
      </c>
      <c r="C31" s="7">
        <v>33393</v>
      </c>
      <c r="D31" s="5">
        <v>2.9272727272727273E-2</v>
      </c>
      <c r="E31" s="8">
        <f t="shared" si="0"/>
        <v>978</v>
      </c>
      <c r="F31" s="9">
        <v>84.688000000000002</v>
      </c>
      <c r="G31" s="10">
        <f t="shared" si="1"/>
        <v>82824.864000000001</v>
      </c>
      <c r="H31" s="11">
        <v>5.8000000000000003E-2</v>
      </c>
      <c r="I31" s="10">
        <f t="shared" si="2"/>
        <v>78021.021888000003</v>
      </c>
      <c r="J31" s="11">
        <f>Assumptions!B7</f>
        <v>0.49</v>
      </c>
      <c r="K31" s="10">
        <f t="shared" si="3"/>
        <v>38230.300725120003</v>
      </c>
      <c r="L31" s="10">
        <f>I31*Assumptions!C7</f>
        <v>20285.465690880003</v>
      </c>
      <c r="M31" s="10">
        <f t="shared" si="4"/>
        <v>19505.255471999997</v>
      </c>
      <c r="N31" s="5">
        <v>0.31818181818181818</v>
      </c>
    </row>
    <row r="32" spans="1:14">
      <c r="A32" s="4" t="s">
        <v>33</v>
      </c>
      <c r="B32" s="4" t="s">
        <v>48</v>
      </c>
      <c r="C32" s="7">
        <v>28818</v>
      </c>
      <c r="D32" s="5">
        <v>6.6181818181818175E-2</v>
      </c>
      <c r="E32" s="8">
        <f t="shared" si="0"/>
        <v>1907</v>
      </c>
      <c r="F32" s="9">
        <v>100.768</v>
      </c>
      <c r="G32" s="10">
        <f t="shared" si="1"/>
        <v>192164.576</v>
      </c>
      <c r="H32" s="11">
        <v>3.5999999999999997E-2</v>
      </c>
      <c r="I32" s="10">
        <f t="shared" si="2"/>
        <v>185246.65126399999</v>
      </c>
      <c r="J32" s="11">
        <f>Assumptions!B8</f>
        <v>0.44</v>
      </c>
      <c r="K32" s="10">
        <f t="shared" si="3"/>
        <v>81508.526556159995</v>
      </c>
      <c r="L32" s="10">
        <f>I32*Assumptions!C8</f>
        <v>9262.3325631999996</v>
      </c>
      <c r="M32" s="10">
        <f t="shared" si="4"/>
        <v>94475.792144639985</v>
      </c>
      <c r="N32" s="5">
        <v>0.66363636363636358</v>
      </c>
    </row>
    <row r="33" spans="1:14">
      <c r="A33" s="4" t="s">
        <v>33</v>
      </c>
      <c r="B33" s="4" t="s">
        <v>49</v>
      </c>
      <c r="C33" s="7">
        <v>19690</v>
      </c>
      <c r="D33" s="5">
        <v>3.4272727272727274E-2</v>
      </c>
      <c r="E33" s="8">
        <f t="shared" si="0"/>
        <v>675</v>
      </c>
      <c r="F33" s="9">
        <v>88.975999999999999</v>
      </c>
      <c r="G33" s="10">
        <f t="shared" si="1"/>
        <v>60058.8</v>
      </c>
      <c r="H33" s="11">
        <v>4.9000000000000002E-2</v>
      </c>
      <c r="I33" s="10">
        <f t="shared" si="2"/>
        <v>57115.918799999999</v>
      </c>
      <c r="J33" s="11">
        <f>Assumptions!B9</f>
        <v>0.48</v>
      </c>
      <c r="K33" s="10">
        <f t="shared" si="3"/>
        <v>27415.641024</v>
      </c>
      <c r="L33" s="10">
        <f>I33*Assumptions!C9</f>
        <v>6853.9102560000001</v>
      </c>
      <c r="M33" s="10">
        <f t="shared" si="4"/>
        <v>22846.36752</v>
      </c>
      <c r="N33" s="5">
        <v>0.43818181818181817</v>
      </c>
    </row>
    <row r="34" spans="1:14">
      <c r="A34" s="4" t="s">
        <v>34</v>
      </c>
      <c r="B34" s="4" t="s">
        <v>46</v>
      </c>
      <c r="C34" s="7">
        <v>48245</v>
      </c>
      <c r="D34" s="5">
        <v>3.8454545454545457E-2</v>
      </c>
      <c r="E34" s="8">
        <f t="shared" si="0"/>
        <v>1855</v>
      </c>
      <c r="F34" s="9">
        <v>93.224000000000004</v>
      </c>
      <c r="G34" s="10">
        <f t="shared" si="1"/>
        <v>172930.52000000002</v>
      </c>
      <c r="H34" s="11">
        <v>4.4999999999999998E-2</v>
      </c>
      <c r="I34" s="10">
        <f t="shared" si="2"/>
        <v>165148.64660000001</v>
      </c>
      <c r="J34" s="11">
        <f>Assumptions!B6</f>
        <v>0.46</v>
      </c>
      <c r="K34" s="10">
        <f t="shared" si="3"/>
        <v>75968.37743600001</v>
      </c>
      <c r="L34" s="10">
        <f>I34*Assumptions!C6</f>
        <v>33029.729320000006</v>
      </c>
      <c r="M34" s="10">
        <f t="shared" si="4"/>
        <v>56150.539843999992</v>
      </c>
      <c r="N34" s="5">
        <v>0.40727272727272729</v>
      </c>
    </row>
    <row r="35" spans="1:14">
      <c r="A35" s="4" t="s">
        <v>34</v>
      </c>
      <c r="B35" s="4" t="s">
        <v>47</v>
      </c>
      <c r="C35" s="7">
        <v>35271</v>
      </c>
      <c r="D35" s="5">
        <v>2.9818181818181817E-2</v>
      </c>
      <c r="E35" s="8">
        <f t="shared" si="0"/>
        <v>1052</v>
      </c>
      <c r="F35" s="9">
        <v>85.63600000000001</v>
      </c>
      <c r="G35" s="10">
        <f t="shared" si="1"/>
        <v>90089.072000000015</v>
      </c>
      <c r="H35" s="11">
        <v>5.8000000000000003E-2</v>
      </c>
      <c r="I35" s="10">
        <f t="shared" si="2"/>
        <v>84863.905824000016</v>
      </c>
      <c r="J35" s="11">
        <f>Assumptions!B7</f>
        <v>0.49</v>
      </c>
      <c r="K35" s="10">
        <f t="shared" si="3"/>
        <v>41583.31385376001</v>
      </c>
      <c r="L35" s="10">
        <f>I35*Assumptions!C7</f>
        <v>22064.615514240006</v>
      </c>
      <c r="M35" s="10">
        <f t="shared" si="4"/>
        <v>21215.976456</v>
      </c>
      <c r="N35" s="5">
        <v>0.32454545454545453</v>
      </c>
    </row>
    <row r="36" spans="1:14">
      <c r="A36" s="4" t="s">
        <v>34</v>
      </c>
      <c r="B36" s="4" t="s">
        <v>48</v>
      </c>
      <c r="C36" s="7">
        <v>31160</v>
      </c>
      <c r="D36" s="5">
        <v>6.7545454545454547E-2</v>
      </c>
      <c r="E36" s="8">
        <f t="shared" si="0"/>
        <v>2105</v>
      </c>
      <c r="F36" s="9">
        <v>101.896</v>
      </c>
      <c r="G36" s="10">
        <f t="shared" si="1"/>
        <v>214491.08</v>
      </c>
      <c r="H36" s="11">
        <v>3.5999999999999997E-2</v>
      </c>
      <c r="I36" s="10">
        <f t="shared" si="2"/>
        <v>206769.40111999999</v>
      </c>
      <c r="J36" s="11">
        <f>Assumptions!B8</f>
        <v>0.44</v>
      </c>
      <c r="K36" s="10">
        <f t="shared" si="3"/>
        <v>90978.536492800005</v>
      </c>
      <c r="L36" s="10">
        <f>I36*Assumptions!C8</f>
        <v>10338.470056</v>
      </c>
      <c r="M36" s="10">
        <f t="shared" si="4"/>
        <v>105452.39457119998</v>
      </c>
      <c r="N36" s="5">
        <v>0.6709090909090909</v>
      </c>
    </row>
    <row r="37" spans="1:14">
      <c r="A37" s="4" t="s">
        <v>34</v>
      </c>
      <c r="B37" s="4" t="s">
        <v>49</v>
      </c>
      <c r="C37" s="7">
        <v>20962</v>
      </c>
      <c r="D37" s="5">
        <v>3.4818181818181818E-2</v>
      </c>
      <c r="E37" s="8">
        <f t="shared" si="0"/>
        <v>730</v>
      </c>
      <c r="F37" s="9">
        <v>89.972000000000008</v>
      </c>
      <c r="G37" s="10">
        <f t="shared" si="1"/>
        <v>65679.560000000012</v>
      </c>
      <c r="H37" s="11">
        <v>4.9000000000000002E-2</v>
      </c>
      <c r="I37" s="10">
        <f t="shared" si="2"/>
        <v>62461.261560000006</v>
      </c>
      <c r="J37" s="11">
        <f>Assumptions!B9</f>
        <v>0.48</v>
      </c>
      <c r="K37" s="10">
        <f t="shared" si="3"/>
        <v>29981.405548800001</v>
      </c>
      <c r="L37" s="10">
        <f>I37*Assumptions!C9</f>
        <v>7495.3513872000003</v>
      </c>
      <c r="M37" s="10">
        <f t="shared" si="4"/>
        <v>24984.504624000005</v>
      </c>
      <c r="N37" s="5">
        <v>0.44454545454545452</v>
      </c>
    </row>
    <row r="38" spans="1:14">
      <c r="A38" s="4" t="s">
        <v>35</v>
      </c>
      <c r="B38" s="4" t="s">
        <v>46</v>
      </c>
      <c r="C38" s="7">
        <v>49210</v>
      </c>
      <c r="D38" s="5">
        <v>3.9090909090909093E-2</v>
      </c>
      <c r="E38" s="8">
        <f t="shared" si="0"/>
        <v>1924</v>
      </c>
      <c r="F38" s="9">
        <v>94.256</v>
      </c>
      <c r="G38" s="10">
        <f t="shared" si="1"/>
        <v>181348.54399999999</v>
      </c>
      <c r="H38" s="11">
        <v>4.4999999999999998E-2</v>
      </c>
      <c r="I38" s="10">
        <f t="shared" si="2"/>
        <v>173187.85952</v>
      </c>
      <c r="J38" s="11">
        <f>Assumptions!B6</f>
        <v>0.46</v>
      </c>
      <c r="K38" s="10">
        <f t="shared" si="3"/>
        <v>79666.4153792</v>
      </c>
      <c r="L38" s="10">
        <f>I38*Assumptions!C6</f>
        <v>34637.571904000004</v>
      </c>
      <c r="M38" s="10">
        <f t="shared" si="4"/>
        <v>58883.872236799994</v>
      </c>
      <c r="N38" s="5">
        <v>0.41545454545454547</v>
      </c>
    </row>
    <row r="39" spans="1:14">
      <c r="A39" s="4" t="s">
        <v>35</v>
      </c>
      <c r="B39" s="4" t="s">
        <v>47</v>
      </c>
      <c r="C39" s="7">
        <v>35765</v>
      </c>
      <c r="D39" s="5">
        <v>3.0363636363636363E-2</v>
      </c>
      <c r="E39" s="8">
        <f t="shared" si="0"/>
        <v>1086</v>
      </c>
      <c r="F39" s="9">
        <v>86.584000000000003</v>
      </c>
      <c r="G39" s="10">
        <f t="shared" si="1"/>
        <v>94030.224000000002</v>
      </c>
      <c r="H39" s="11">
        <v>5.8000000000000003E-2</v>
      </c>
      <c r="I39" s="10">
        <f t="shared" si="2"/>
        <v>88576.471007999993</v>
      </c>
      <c r="J39" s="11">
        <f>Assumptions!B7</f>
        <v>0.49</v>
      </c>
      <c r="K39" s="10">
        <f t="shared" si="3"/>
        <v>43402.470793919994</v>
      </c>
      <c r="L39" s="10">
        <f>I39*Assumptions!C7</f>
        <v>23029.882462080001</v>
      </c>
      <c r="M39" s="10">
        <f t="shared" si="4"/>
        <v>22144.117751999998</v>
      </c>
      <c r="N39" s="5">
        <v>0.33090909090909093</v>
      </c>
    </row>
    <row r="40" spans="1:14">
      <c r="A40" s="4" t="s">
        <v>35</v>
      </c>
      <c r="B40" s="4" t="s">
        <v>48</v>
      </c>
      <c r="C40" s="7">
        <v>32344</v>
      </c>
      <c r="D40" s="5">
        <v>6.8909090909090906E-2</v>
      </c>
      <c r="E40" s="8">
        <f t="shared" si="0"/>
        <v>2229</v>
      </c>
      <c r="F40" s="9">
        <v>103.024</v>
      </c>
      <c r="G40" s="10">
        <f t="shared" si="1"/>
        <v>229640.49600000001</v>
      </c>
      <c r="H40" s="11">
        <v>3.5999999999999997E-2</v>
      </c>
      <c r="I40" s="10">
        <f t="shared" si="2"/>
        <v>221373.43814400001</v>
      </c>
      <c r="J40" s="11">
        <f>Assumptions!B8</f>
        <v>0.44</v>
      </c>
      <c r="K40" s="10">
        <f t="shared" si="3"/>
        <v>97404.312783360001</v>
      </c>
      <c r="L40" s="10">
        <f>I40*Assumptions!C8</f>
        <v>11068.671907200001</v>
      </c>
      <c r="M40" s="10">
        <f t="shared" si="4"/>
        <v>112900.45345344002</v>
      </c>
      <c r="N40" s="5">
        <v>0.67818181818181811</v>
      </c>
    </row>
    <row r="41" spans="1:14">
      <c r="A41" s="4" t="s">
        <v>35</v>
      </c>
      <c r="B41" s="4" t="s">
        <v>49</v>
      </c>
      <c r="C41" s="7">
        <v>21423</v>
      </c>
      <c r="D41" s="5">
        <v>3.5363636363636361E-2</v>
      </c>
      <c r="E41" s="8">
        <f t="shared" si="0"/>
        <v>758</v>
      </c>
      <c r="F41" s="9">
        <v>90.968000000000004</v>
      </c>
      <c r="G41" s="10">
        <f t="shared" si="1"/>
        <v>68953.744000000006</v>
      </c>
      <c r="H41" s="11">
        <v>4.9000000000000002E-2</v>
      </c>
      <c r="I41" s="10">
        <f t="shared" si="2"/>
        <v>65575.010544000004</v>
      </c>
      <c r="J41" s="11">
        <f>Assumptions!B9</f>
        <v>0.48</v>
      </c>
      <c r="K41" s="10">
        <f t="shared" si="3"/>
        <v>31476.005061120002</v>
      </c>
      <c r="L41" s="10">
        <f>I41*Assumptions!C9</f>
        <v>7869.0012652800006</v>
      </c>
      <c r="M41" s="10">
        <f t="shared" si="4"/>
        <v>26230.004217600006</v>
      </c>
      <c r="N41" s="5">
        <v>0.45090909090909093</v>
      </c>
    </row>
    <row r="42" spans="1:14">
      <c r="A42" s="4" t="s">
        <v>36</v>
      </c>
      <c r="B42" s="4" t="s">
        <v>46</v>
      </c>
      <c r="C42" s="7">
        <v>50194</v>
      </c>
      <c r="D42" s="5">
        <v>3.9727272727272729E-2</v>
      </c>
      <c r="E42" s="8">
        <f t="shared" si="0"/>
        <v>1994</v>
      </c>
      <c r="F42" s="9">
        <v>98.623080000000002</v>
      </c>
      <c r="G42" s="10">
        <f t="shared" si="1"/>
        <v>196654.42152</v>
      </c>
      <c r="H42" s="11">
        <v>4.4999999999999998E-2</v>
      </c>
      <c r="I42" s="10">
        <f t="shared" si="2"/>
        <v>187804.97255159999</v>
      </c>
      <c r="J42" s="11">
        <f>Assumptions!B6</f>
        <v>0.46</v>
      </c>
      <c r="K42" s="10">
        <f t="shared" si="3"/>
        <v>86390.287373735991</v>
      </c>
      <c r="L42" s="10">
        <f>I42*Assumptions!C6</f>
        <v>37560.994510320001</v>
      </c>
      <c r="M42" s="10">
        <f t="shared" si="4"/>
        <v>63853.690667543997</v>
      </c>
      <c r="N42" s="5">
        <v>0.42363636363636364</v>
      </c>
    </row>
    <row r="43" spans="1:14">
      <c r="A43" s="4" t="s">
        <v>36</v>
      </c>
      <c r="B43" s="4" t="s">
        <v>47</v>
      </c>
      <c r="C43" s="7">
        <v>36265</v>
      </c>
      <c r="D43" s="5">
        <v>3.090909090909091E-2</v>
      </c>
      <c r="E43" s="8">
        <f t="shared" si="0"/>
        <v>1121</v>
      </c>
      <c r="F43" s="9">
        <v>90.595620000000011</v>
      </c>
      <c r="G43" s="10">
        <f t="shared" si="1"/>
        <v>101557.69002000001</v>
      </c>
      <c r="H43" s="11">
        <v>5.8000000000000003E-2</v>
      </c>
      <c r="I43" s="10">
        <f t="shared" si="2"/>
        <v>95667.343998840006</v>
      </c>
      <c r="J43" s="11">
        <f>Assumptions!B7</f>
        <v>0.49</v>
      </c>
      <c r="K43" s="10">
        <f t="shared" si="3"/>
        <v>46876.998559431602</v>
      </c>
      <c r="L43" s="10">
        <f>I43*Assumptions!C7</f>
        <v>24873.509439698402</v>
      </c>
      <c r="M43" s="10">
        <f t="shared" si="4"/>
        <v>23916.835999710001</v>
      </c>
      <c r="N43" s="5">
        <v>0.33727272727272728</v>
      </c>
    </row>
    <row r="44" spans="1:14">
      <c r="A44" s="4" t="s">
        <v>36</v>
      </c>
      <c r="B44" s="4" t="s">
        <v>48</v>
      </c>
      <c r="C44" s="7">
        <v>33573</v>
      </c>
      <c r="D44" s="5">
        <v>7.0272727272727264E-2</v>
      </c>
      <c r="E44" s="8">
        <f t="shared" si="0"/>
        <v>2359</v>
      </c>
      <c r="F44" s="9">
        <v>107.79732000000001</v>
      </c>
      <c r="G44" s="10">
        <f t="shared" si="1"/>
        <v>254293.87788000004</v>
      </c>
      <c r="H44" s="11">
        <v>3.5999999999999997E-2</v>
      </c>
      <c r="I44" s="10">
        <f t="shared" si="2"/>
        <v>245139.29827632004</v>
      </c>
      <c r="J44" s="11">
        <f>Assumptions!B8</f>
        <v>0.44</v>
      </c>
      <c r="K44" s="10">
        <f t="shared" si="3"/>
        <v>107861.29124158082</v>
      </c>
      <c r="L44" s="10">
        <f>I44*Assumptions!C8</f>
        <v>12256.964913816002</v>
      </c>
      <c r="M44" s="10">
        <f t="shared" si="4"/>
        <v>125021.04212092322</v>
      </c>
      <c r="N44" s="5">
        <v>0.68545454545454543</v>
      </c>
    </row>
    <row r="45" spans="1:14">
      <c r="A45" s="4" t="s">
        <v>36</v>
      </c>
      <c r="B45" s="4" t="s">
        <v>49</v>
      </c>
      <c r="C45" s="7">
        <v>21894</v>
      </c>
      <c r="D45" s="5">
        <v>3.5909090909090904E-2</v>
      </c>
      <c r="E45" s="8">
        <f t="shared" si="0"/>
        <v>786</v>
      </c>
      <c r="F45" s="9">
        <v>95.18274000000001</v>
      </c>
      <c r="G45" s="10">
        <f t="shared" si="1"/>
        <v>74813.633640000015</v>
      </c>
      <c r="H45" s="11">
        <v>4.9000000000000002E-2</v>
      </c>
      <c r="I45" s="10">
        <f t="shared" si="2"/>
        <v>71147.765591640011</v>
      </c>
      <c r="J45" s="11">
        <f>Assumptions!B9</f>
        <v>0.48</v>
      </c>
      <c r="K45" s="10">
        <f t="shared" si="3"/>
        <v>34150.927483987201</v>
      </c>
      <c r="L45" s="10">
        <f>I45*Assumptions!C9</f>
        <v>8537.7318709968004</v>
      </c>
      <c r="M45" s="10">
        <f t="shared" si="4"/>
        <v>28459.106236656007</v>
      </c>
      <c r="N45" s="5">
        <v>0.45727272727272728</v>
      </c>
    </row>
    <row r="46" spans="1:14">
      <c r="A46" s="4" t="s">
        <v>37</v>
      </c>
      <c r="B46" s="4" t="s">
        <v>46</v>
      </c>
      <c r="C46" s="7">
        <v>60413</v>
      </c>
      <c r="D46" s="5">
        <v>4.0363636363636365E-2</v>
      </c>
      <c r="E46" s="8">
        <f t="shared" si="0"/>
        <v>2438</v>
      </c>
      <c r="F46" s="9">
        <v>99.691199999999995</v>
      </c>
      <c r="G46" s="10">
        <f t="shared" si="1"/>
        <v>243047.14559999999</v>
      </c>
      <c r="H46" s="11">
        <v>4.4999999999999998E-2</v>
      </c>
      <c r="I46" s="10">
        <f t="shared" si="2"/>
        <v>232110.02404799999</v>
      </c>
      <c r="J46" s="11">
        <f>Assumptions!B6</f>
        <v>0.46</v>
      </c>
      <c r="K46" s="10">
        <f t="shared" si="3"/>
        <v>106770.61106208</v>
      </c>
      <c r="L46" s="10">
        <f>I46*Assumptions!C6</f>
        <v>46422.004809600003</v>
      </c>
      <c r="M46" s="10">
        <f t="shared" si="4"/>
        <v>78917.408176319994</v>
      </c>
      <c r="N46" s="5">
        <v>0.43181818181818182</v>
      </c>
    </row>
    <row r="47" spans="1:14">
      <c r="A47" s="4" t="s">
        <v>37</v>
      </c>
      <c r="B47" s="4" t="s">
        <v>47</v>
      </c>
      <c r="C47" s="7">
        <v>43392</v>
      </c>
      <c r="D47" s="5">
        <v>3.1454545454545457E-2</v>
      </c>
      <c r="E47" s="8">
        <f t="shared" si="0"/>
        <v>1365</v>
      </c>
      <c r="F47" s="9">
        <v>91.576799999999992</v>
      </c>
      <c r="G47" s="10">
        <f t="shared" si="1"/>
        <v>125002.33199999999</v>
      </c>
      <c r="H47" s="11">
        <v>5.8000000000000003E-2</v>
      </c>
      <c r="I47" s="10">
        <f t="shared" si="2"/>
        <v>117752.19674399999</v>
      </c>
      <c r="J47" s="11">
        <f>Assumptions!B7</f>
        <v>0.49</v>
      </c>
      <c r="K47" s="10">
        <f t="shared" si="3"/>
        <v>57698.576404559994</v>
      </c>
      <c r="L47" s="10">
        <f>I47*Assumptions!C7</f>
        <v>30615.571153439996</v>
      </c>
      <c r="M47" s="10">
        <f t="shared" si="4"/>
        <v>29438.049185999997</v>
      </c>
      <c r="N47" s="5">
        <v>0.34363636363636363</v>
      </c>
    </row>
    <row r="48" spans="1:14">
      <c r="A48" s="4" t="s">
        <v>37</v>
      </c>
      <c r="B48" s="4" t="s">
        <v>48</v>
      </c>
      <c r="C48" s="7">
        <v>41121</v>
      </c>
      <c r="D48" s="5">
        <v>7.1636363636363637E-2</v>
      </c>
      <c r="E48" s="8">
        <f t="shared" si="0"/>
        <v>2946</v>
      </c>
      <c r="F48" s="9">
        <v>108.96480000000001</v>
      </c>
      <c r="G48" s="10">
        <f t="shared" si="1"/>
        <v>321010.30080000003</v>
      </c>
      <c r="H48" s="11">
        <v>3.5999999999999997E-2</v>
      </c>
      <c r="I48" s="10">
        <f t="shared" si="2"/>
        <v>309453.92997120001</v>
      </c>
      <c r="J48" s="11">
        <f>Assumptions!B8</f>
        <v>0.44</v>
      </c>
      <c r="K48" s="10">
        <f t="shared" si="3"/>
        <v>136159.72918732799</v>
      </c>
      <c r="L48" s="10">
        <f>I48*Assumptions!C8</f>
        <v>15472.696498560001</v>
      </c>
      <c r="M48" s="10">
        <f t="shared" si="4"/>
        <v>157821.50428531202</v>
      </c>
      <c r="N48" s="5">
        <v>0.69272727272727264</v>
      </c>
    </row>
    <row r="49" spans="1:14">
      <c r="A49" s="4" t="s">
        <v>37</v>
      </c>
      <c r="B49" s="4" t="s">
        <v>49</v>
      </c>
      <c r="C49" s="7">
        <v>26404</v>
      </c>
      <c r="D49" s="5">
        <v>3.6454545454545455E-2</v>
      </c>
      <c r="E49" s="8">
        <f t="shared" si="0"/>
        <v>963</v>
      </c>
      <c r="F49" s="9">
        <v>96.2136</v>
      </c>
      <c r="G49" s="10">
        <f t="shared" si="1"/>
        <v>92653.696800000005</v>
      </c>
      <c r="H49" s="11">
        <v>4.9000000000000002E-2</v>
      </c>
      <c r="I49" s="10">
        <f t="shared" si="2"/>
        <v>88113.665656800003</v>
      </c>
      <c r="J49" s="11">
        <f>Assumptions!B9</f>
        <v>0.48</v>
      </c>
      <c r="K49" s="10">
        <f t="shared" si="3"/>
        <v>42294.559515264002</v>
      </c>
      <c r="L49" s="10">
        <f>I49*Assumptions!C9</f>
        <v>10573.639878816</v>
      </c>
      <c r="M49" s="10">
        <f t="shared" si="4"/>
        <v>35245.466262720001</v>
      </c>
      <c r="N49" s="5">
        <v>0.46363636363636362</v>
      </c>
    </row>
    <row r="50" spans="1:14">
      <c r="A50" s="4" t="s">
        <v>38</v>
      </c>
      <c r="B50" s="4" t="s">
        <v>46</v>
      </c>
      <c r="C50" s="7">
        <v>65277</v>
      </c>
      <c r="D50" s="5">
        <v>4.1000000000000002E-2</v>
      </c>
      <c r="E50" s="8">
        <f t="shared" si="0"/>
        <v>2676</v>
      </c>
      <c r="F50" s="9">
        <v>100.75932</v>
      </c>
      <c r="G50" s="10">
        <f t="shared" si="1"/>
        <v>269631.94031999999</v>
      </c>
      <c r="H50" s="11">
        <v>4.4999999999999998E-2</v>
      </c>
      <c r="I50" s="10">
        <f t="shared" si="2"/>
        <v>257498.50300559998</v>
      </c>
      <c r="J50" s="11">
        <f>Assumptions!B6</f>
        <v>0.46</v>
      </c>
      <c r="K50" s="10">
        <f t="shared" si="3"/>
        <v>118449.31138257599</v>
      </c>
      <c r="L50" s="10">
        <f>I50*Assumptions!C6</f>
        <v>51499.700601119999</v>
      </c>
      <c r="M50" s="10">
        <f t="shared" si="4"/>
        <v>87549.491021904003</v>
      </c>
      <c r="N50" s="5">
        <v>0.44</v>
      </c>
    </row>
    <row r="51" spans="1:14">
      <c r="A51" s="4" t="s">
        <v>38</v>
      </c>
      <c r="B51" s="4" t="s">
        <v>47</v>
      </c>
      <c r="C51" s="7">
        <v>46610</v>
      </c>
      <c r="D51" s="5">
        <v>3.2000000000000001E-2</v>
      </c>
      <c r="E51" s="8">
        <f t="shared" si="0"/>
        <v>1492</v>
      </c>
      <c r="F51" s="9">
        <v>92.557980000000001</v>
      </c>
      <c r="G51" s="10">
        <f t="shared" si="1"/>
        <v>138096.50615999999</v>
      </c>
      <c r="H51" s="11">
        <v>5.8000000000000003E-2</v>
      </c>
      <c r="I51" s="10">
        <f t="shared" si="2"/>
        <v>130086.90880271999</v>
      </c>
      <c r="J51" s="11">
        <f>Assumptions!B7</f>
        <v>0.49</v>
      </c>
      <c r="K51" s="10">
        <f t="shared" si="3"/>
        <v>63742.585313332791</v>
      </c>
      <c r="L51" s="10">
        <f>I51*Assumptions!C7</f>
        <v>33822.596288707202</v>
      </c>
      <c r="M51" s="10">
        <f t="shared" si="4"/>
        <v>32521.727200679998</v>
      </c>
      <c r="N51" s="5">
        <v>0.35</v>
      </c>
    </row>
    <row r="52" spans="1:14">
      <c r="A52" s="4" t="s">
        <v>38</v>
      </c>
      <c r="B52" s="4" t="s">
        <v>48</v>
      </c>
      <c r="C52" s="7">
        <v>45216</v>
      </c>
      <c r="D52" s="5">
        <v>7.2999999999999995E-2</v>
      </c>
      <c r="E52" s="8">
        <f t="shared" si="0"/>
        <v>3301</v>
      </c>
      <c r="F52" s="9">
        <v>110.13228000000001</v>
      </c>
      <c r="G52" s="10">
        <f t="shared" si="1"/>
        <v>363546.65628000005</v>
      </c>
      <c r="H52" s="11">
        <v>3.5999999999999997E-2</v>
      </c>
      <c r="I52" s="10">
        <f t="shared" si="2"/>
        <v>350458.97665392002</v>
      </c>
      <c r="J52" s="11">
        <f>Assumptions!B8</f>
        <v>0.44</v>
      </c>
      <c r="K52" s="10">
        <f t="shared" si="3"/>
        <v>154201.9497277248</v>
      </c>
      <c r="L52" s="10">
        <f>I52*Assumptions!C8</f>
        <v>17522.948832696002</v>
      </c>
      <c r="M52" s="10">
        <f t="shared" si="4"/>
        <v>178734.07809349921</v>
      </c>
      <c r="N52" s="5">
        <v>0.7</v>
      </c>
    </row>
    <row r="53" spans="1:14">
      <c r="A53" s="4" t="s">
        <v>38</v>
      </c>
      <c r="B53" s="4" t="s">
        <v>49</v>
      </c>
      <c r="C53" s="7">
        <v>28585</v>
      </c>
      <c r="D53" s="5">
        <v>3.6999999999999998E-2</v>
      </c>
      <c r="E53" s="8">
        <f t="shared" si="0"/>
        <v>1058</v>
      </c>
      <c r="F53" s="9">
        <v>97.244459999999989</v>
      </c>
      <c r="G53" s="10">
        <f t="shared" si="1"/>
        <v>102884.63867999999</v>
      </c>
      <c r="H53" s="11">
        <v>4.9000000000000002E-2</v>
      </c>
      <c r="I53" s="10">
        <f t="shared" si="2"/>
        <v>97843.291384679978</v>
      </c>
      <c r="J53" s="11">
        <f>Assumptions!B9</f>
        <v>0.48</v>
      </c>
      <c r="K53" s="10">
        <f t="shared" si="3"/>
        <v>46964.779864646385</v>
      </c>
      <c r="L53" s="10">
        <f>I53*Assumptions!C9</f>
        <v>11741.194966161596</v>
      </c>
      <c r="M53" s="10">
        <f t="shared" si="4"/>
        <v>39137.316553871999</v>
      </c>
      <c r="N53" s="5">
        <v>0.47</v>
      </c>
    </row>
  </sheetData>
  <mergeCells count="2">
    <mergeCell ref="A1:N2"/>
    <mergeCell ref="A3:N3"/>
  </mergeCells>
  <phoneticPr fontId="13" type="noConversion"/>
  <pageMargins left="0.7" right="0.7" top="0.75" bottom="0.75" header="0.3" footer="0.3"/>
  <pageSetup paperSize="9" scale="6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3"/>
  <sheetViews>
    <sheetView showGridLines="0" workbookViewId="0">
      <selection sqref="A1:G2"/>
    </sheetView>
  </sheetViews>
  <sheetFormatPr defaultRowHeight="14"/>
  <cols>
    <col min="1" max="1" width="22" customWidth="1"/>
    <col min="2" max="2" width="15" customWidth="1"/>
    <col min="3" max="3" width="17" customWidth="1"/>
    <col min="4" max="4" width="28" customWidth="1"/>
    <col min="5" max="5" width="16" customWidth="1"/>
    <col min="6" max="6" width="18" customWidth="1"/>
    <col min="7" max="7" width="25" customWidth="1"/>
  </cols>
  <sheetData>
    <row r="1" spans="1:14" ht="28" customHeight="1">
      <c r="A1" s="29" t="s">
        <v>63</v>
      </c>
      <c r="B1" s="29"/>
      <c r="C1" s="29"/>
      <c r="D1" s="29"/>
      <c r="E1" s="29"/>
      <c r="F1" s="29"/>
      <c r="G1" s="29"/>
    </row>
    <row r="2" spans="1:14" ht="28" customHeight="1">
      <c r="A2" s="29"/>
      <c r="B2" s="29"/>
      <c r="C2" s="29"/>
      <c r="D2" s="29"/>
      <c r="E2" s="29"/>
      <c r="F2" s="29"/>
      <c r="G2" s="29"/>
    </row>
    <row r="3" spans="1:14" ht="22" customHeight="1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>
      <c r="A5" s="1" t="s">
        <v>42</v>
      </c>
      <c r="B5" s="2" t="s">
        <v>61</v>
      </c>
      <c r="C5" s="2" t="s">
        <v>65</v>
      </c>
      <c r="D5" s="3" t="s">
        <v>66</v>
      </c>
      <c r="F5" s="1" t="s">
        <v>13</v>
      </c>
      <c r="G5" s="3" t="s">
        <v>67</v>
      </c>
    </row>
    <row r="6" spans="1:14">
      <c r="A6" s="4" t="s">
        <v>46</v>
      </c>
      <c r="B6" s="5">
        <v>0.46</v>
      </c>
      <c r="C6" s="5">
        <v>0.2</v>
      </c>
      <c r="D6" s="4" t="s">
        <v>68</v>
      </c>
      <c r="F6" s="4" t="s">
        <v>27</v>
      </c>
      <c r="G6" s="6">
        <v>365000</v>
      </c>
    </row>
    <row r="7" spans="1:14">
      <c r="A7" s="4" t="s">
        <v>47</v>
      </c>
      <c r="B7" s="5">
        <v>0.49</v>
      </c>
      <c r="C7" s="5">
        <v>0.26</v>
      </c>
      <c r="D7" s="4" t="s">
        <v>68</v>
      </c>
      <c r="F7" s="4" t="s">
        <v>28</v>
      </c>
      <c r="G7" s="6">
        <v>377000</v>
      </c>
    </row>
    <row r="8" spans="1:14">
      <c r="A8" s="4" t="s">
        <v>48</v>
      </c>
      <c r="B8" s="5">
        <v>0.44</v>
      </c>
      <c r="C8" s="5">
        <v>0.05</v>
      </c>
      <c r="D8" s="4" t="s">
        <v>68</v>
      </c>
      <c r="F8" s="4" t="s">
        <v>29</v>
      </c>
      <c r="G8" s="6">
        <v>389000</v>
      </c>
    </row>
    <row r="9" spans="1:14">
      <c r="A9" s="4" t="s">
        <v>49</v>
      </c>
      <c r="B9" s="5">
        <v>0.48</v>
      </c>
      <c r="C9" s="5">
        <v>0.12</v>
      </c>
      <c r="D9" s="4" t="s">
        <v>68</v>
      </c>
      <c r="F9" s="4" t="s">
        <v>30</v>
      </c>
      <c r="G9" s="6">
        <v>401000</v>
      </c>
    </row>
    <row r="10" spans="1:14">
      <c r="F10" s="4" t="s">
        <v>31</v>
      </c>
      <c r="G10" s="6">
        <v>413000</v>
      </c>
    </row>
    <row r="11" spans="1:14">
      <c r="F11" s="4" t="s">
        <v>32</v>
      </c>
      <c r="G11" s="6">
        <v>425000</v>
      </c>
    </row>
    <row r="12" spans="1:14">
      <c r="F12" s="4" t="s">
        <v>33</v>
      </c>
      <c r="G12" s="6">
        <v>437000</v>
      </c>
    </row>
    <row r="13" spans="1:14">
      <c r="F13" s="4" t="s">
        <v>34</v>
      </c>
      <c r="G13" s="6">
        <v>449000</v>
      </c>
    </row>
    <row r="14" spans="1:14">
      <c r="F14" s="4" t="s">
        <v>35</v>
      </c>
      <c r="G14" s="6">
        <v>461000</v>
      </c>
    </row>
    <row r="15" spans="1:14">
      <c r="F15" s="4" t="s">
        <v>36</v>
      </c>
      <c r="G15" s="6">
        <v>518000</v>
      </c>
    </row>
    <row r="16" spans="1:14">
      <c r="F16" s="4" t="s">
        <v>37</v>
      </c>
      <c r="G16" s="6">
        <v>530000</v>
      </c>
    </row>
    <row r="17" spans="1:7">
      <c r="F17" s="4" t="s">
        <v>38</v>
      </c>
      <c r="G17" s="6">
        <v>542000</v>
      </c>
    </row>
    <row r="20" spans="1:7">
      <c r="A20" s="1" t="s">
        <v>69</v>
      </c>
      <c r="B20" s="2" t="s">
        <v>70</v>
      </c>
      <c r="C20" s="2" t="s">
        <v>71</v>
      </c>
      <c r="D20" s="2" t="s">
        <v>72</v>
      </c>
      <c r="E20" s="2" t="s">
        <v>73</v>
      </c>
      <c r="F20" s="2" t="s">
        <v>74</v>
      </c>
      <c r="G20" s="3" t="s">
        <v>75</v>
      </c>
    </row>
    <row r="21" spans="1:7">
      <c r="A21" s="4" t="s">
        <v>76</v>
      </c>
      <c r="B21" s="4" t="s">
        <v>77</v>
      </c>
      <c r="C21" s="4" t="s">
        <v>78</v>
      </c>
      <c r="D21" s="4" t="s">
        <v>79</v>
      </c>
      <c r="E21" s="4" t="s">
        <v>80</v>
      </c>
      <c r="F21" s="4" t="s">
        <v>81</v>
      </c>
      <c r="G21" s="4" t="s">
        <v>82</v>
      </c>
    </row>
    <row r="22" spans="1:7">
      <c r="A22" s="4" t="s">
        <v>83</v>
      </c>
      <c r="B22" s="4" t="s">
        <v>84</v>
      </c>
      <c r="C22" s="4" t="s">
        <v>85</v>
      </c>
      <c r="D22" s="4" t="s">
        <v>79</v>
      </c>
      <c r="E22" s="4" t="s">
        <v>80</v>
      </c>
      <c r="F22" s="4" t="s">
        <v>81</v>
      </c>
      <c r="G22" s="4" t="s">
        <v>86</v>
      </c>
    </row>
    <row r="23" spans="1:7">
      <c r="A23" s="4" t="s">
        <v>87</v>
      </c>
      <c r="B23" s="4" t="s">
        <v>88</v>
      </c>
      <c r="C23" s="4" t="s">
        <v>89</v>
      </c>
      <c r="D23" s="4" t="s">
        <v>79</v>
      </c>
      <c r="E23" s="4" t="s">
        <v>80</v>
      </c>
      <c r="F23" s="4" t="s">
        <v>81</v>
      </c>
      <c r="G23" s="4" t="s">
        <v>90</v>
      </c>
    </row>
  </sheetData>
  <mergeCells count="2">
    <mergeCell ref="A1:G2"/>
    <mergeCell ref="A3:N3"/>
  </mergeCells>
  <phoneticPr fontId="13" type="noConversion"/>
  <pageMargins left="0.7" right="0.7" top="0.75" bottom="0.75" header="0.3" footer="0.3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3"/>
  <sheetViews>
    <sheetView showGridLines="0" workbookViewId="0">
      <selection sqref="A1:F2"/>
    </sheetView>
  </sheetViews>
  <sheetFormatPr defaultRowHeight="14"/>
  <cols>
    <col min="1" max="1" width="31" customWidth="1"/>
    <col min="2" max="2" width="12" customWidth="1"/>
    <col min="3" max="3" width="14" customWidth="1"/>
    <col min="4" max="4" width="13" customWidth="1"/>
    <col min="5" max="5" width="31" customWidth="1"/>
    <col min="6" max="6" width="36" customWidth="1"/>
  </cols>
  <sheetData>
    <row r="1" spans="1:14">
      <c r="A1" s="29" t="s">
        <v>91</v>
      </c>
      <c r="B1" s="29"/>
      <c r="C1" s="29"/>
      <c r="D1" s="29"/>
      <c r="E1" s="29"/>
      <c r="F1" s="29"/>
    </row>
    <row r="2" spans="1:14">
      <c r="A2" s="29"/>
      <c r="B2" s="29"/>
      <c r="C2" s="29"/>
      <c r="D2" s="29"/>
      <c r="E2" s="29"/>
      <c r="F2" s="29"/>
    </row>
    <row r="3" spans="1:14">
      <c r="A3" s="30" t="s">
        <v>92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">
      <c r="A4" s="26" t="s">
        <v>93</v>
      </c>
      <c r="B4" s="26" t="str">
        <f>IF(COUNTIF(B7:B13,"CHECK")=0,"PASS","CHECK")</f>
        <v>PASS</v>
      </c>
    </row>
    <row r="6" spans="1:14">
      <c r="A6" s="1" t="s">
        <v>94</v>
      </c>
      <c r="B6" s="2" t="s">
        <v>95</v>
      </c>
      <c r="C6" s="2" t="s">
        <v>96</v>
      </c>
      <c r="D6" s="2" t="s">
        <v>97</v>
      </c>
      <c r="E6" s="2" t="s">
        <v>98</v>
      </c>
      <c r="F6" s="3" t="s">
        <v>75</v>
      </c>
    </row>
    <row r="7" spans="1:14">
      <c r="A7" s="4" t="s">
        <v>99</v>
      </c>
      <c r="B7" s="27" t="str">
        <f>IF(ABS(C7)&lt;=D7,"PASS","CHECK")</f>
        <v>PASS</v>
      </c>
      <c r="C7" s="28">
        <f>SUM('Monthly Model'!C5:C16)-SUM('Source Data'!I6:I53)</f>
        <v>0</v>
      </c>
      <c r="D7" s="28">
        <v>0.01</v>
      </c>
      <c r="E7" s="4" t="s">
        <v>100</v>
      </c>
      <c r="F7" s="4" t="s">
        <v>101</v>
      </c>
    </row>
    <row r="8" spans="1:14">
      <c r="A8" s="4" t="s">
        <v>102</v>
      </c>
      <c r="B8" s="27" t="str">
        <f>IF(ABS(C8)&lt;=D8,"PASS","CHECK")</f>
        <v>PASS</v>
      </c>
      <c r="C8" s="28">
        <f>SUM('Channel Model'!E5:E8)-SUM('Monthly Model'!C5:C16)</f>
        <v>0</v>
      </c>
      <c r="D8" s="28">
        <v>0.01</v>
      </c>
      <c r="E8" s="4" t="s">
        <v>103</v>
      </c>
      <c r="F8" s="4" t="s">
        <v>104</v>
      </c>
    </row>
    <row r="9" spans="1:14">
      <c r="A9" s="4" t="s">
        <v>105</v>
      </c>
      <c r="B9" s="27" t="str">
        <f>IF(ABS(C9)&lt;=D9,"PASS","CHECK")</f>
        <v>PASS</v>
      </c>
      <c r="C9" s="28">
        <f>SUM('Channel Model'!G5:G8)-SUM('Monthly Model'!J5:J16)</f>
        <v>0</v>
      </c>
      <c r="D9" s="28">
        <v>0.01</v>
      </c>
      <c r="E9" s="4" t="s">
        <v>106</v>
      </c>
      <c r="F9" s="4" t="s">
        <v>107</v>
      </c>
    </row>
    <row r="10" spans="1:14">
      <c r="A10" s="4" t="s">
        <v>108</v>
      </c>
      <c r="B10" s="27" t="str">
        <f>IF(C10&gt;=0,"PASS","CHECK")</f>
        <v>PASS</v>
      </c>
      <c r="C10" s="28">
        <f>MIN('Source Data'!E6:E53)</f>
        <v>558</v>
      </c>
      <c r="D10" s="28">
        <v>0</v>
      </c>
      <c r="E10" s="4" t="s">
        <v>109</v>
      </c>
      <c r="F10" s="4" t="s">
        <v>110</v>
      </c>
    </row>
    <row r="11" spans="1:14">
      <c r="A11" s="4" t="s">
        <v>111</v>
      </c>
      <c r="B11" s="27" t="str">
        <f>IF(C11&lt;=D11,"PASS","CHECK")</f>
        <v>PASS</v>
      </c>
      <c r="C11" s="28">
        <f>MAX('Source Data'!D6:D53)</f>
        <v>7.2999999999999995E-2</v>
      </c>
      <c r="D11" s="28">
        <v>0.2</v>
      </c>
      <c r="E11" s="4" t="s">
        <v>109</v>
      </c>
      <c r="F11" s="4" t="s">
        <v>112</v>
      </c>
    </row>
    <row r="12" spans="1:14">
      <c r="A12" s="4" t="s">
        <v>113</v>
      </c>
      <c r="B12" s="27" t="str">
        <f>IF(C12&lt;=D12,"PASS","CHECK")</f>
        <v>PASS</v>
      </c>
      <c r="C12" s="28">
        <f>MAX('Source Data'!H6:H53)</f>
        <v>5.8000000000000003E-2</v>
      </c>
      <c r="D12" s="28">
        <v>0.15</v>
      </c>
      <c r="E12" s="4" t="s">
        <v>109</v>
      </c>
      <c r="F12" s="4" t="s">
        <v>112</v>
      </c>
    </row>
    <row r="13" spans="1:14">
      <c r="A13" s="4" t="s">
        <v>114</v>
      </c>
      <c r="B13" s="27" t="str">
        <f>IF(C13=D13,"PASS","CHECK")</f>
        <v>PASS</v>
      </c>
      <c r="C13" s="28">
        <f>COUNT(Assumptions!B6:C9)+COUNT(Assumptions!G6:G17)</f>
        <v>20</v>
      </c>
      <c r="D13" s="28">
        <v>20</v>
      </c>
      <c r="E13" s="4" t="s">
        <v>115</v>
      </c>
      <c r="F13" s="4" t="s">
        <v>116</v>
      </c>
    </row>
  </sheetData>
  <mergeCells count="2">
    <mergeCell ref="A1:F2"/>
    <mergeCell ref="A3:N3"/>
  </mergeCells>
  <phoneticPr fontId="13" type="noConversion"/>
  <conditionalFormatting sqref="B7:B13">
    <cfRule type="expression" dxfId="1" priority="1">
      <formula>$B7="PASS"</formula>
    </cfRule>
    <cfRule type="expression" dxfId="0" priority="2">
      <formula>$B7="CHECK"</formula>
    </cfRule>
  </conditionalFormatting>
  <pageMargins left="0.7" right="0.7" top="0.75" bottom="0.75" header="0.3" footer="0.3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1"/>
  <sheetViews>
    <sheetView showGridLines="0" workbookViewId="0">
      <selection sqref="A1:D2"/>
    </sheetView>
  </sheetViews>
  <sheetFormatPr defaultRowHeight="14"/>
  <cols>
    <col min="1" max="1" width="24" customWidth="1"/>
    <col min="2" max="2" width="58" customWidth="1"/>
    <col min="3" max="3" width="20" customWidth="1"/>
    <col min="4" max="4" width="33" customWidth="1"/>
  </cols>
  <sheetData>
    <row r="1" spans="1:14">
      <c r="A1" s="29" t="s">
        <v>117</v>
      </c>
      <c r="B1" s="29"/>
      <c r="C1" s="29"/>
      <c r="D1" s="29"/>
    </row>
    <row r="2" spans="1:14">
      <c r="A2" s="29"/>
      <c r="B2" s="29"/>
      <c r="C2" s="29"/>
      <c r="D2" s="29"/>
    </row>
    <row r="3" spans="1:14">
      <c r="A3" s="30" t="s">
        <v>118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>
      <c r="A4" s="1" t="s">
        <v>119</v>
      </c>
      <c r="B4" s="2" t="s">
        <v>120</v>
      </c>
      <c r="C4" s="2" t="s">
        <v>121</v>
      </c>
      <c r="D4" s="3" t="s">
        <v>122</v>
      </c>
    </row>
    <row r="5" spans="1:14">
      <c r="A5" s="4" t="s">
        <v>44</v>
      </c>
      <c r="B5" s="4" t="s">
        <v>123</v>
      </c>
      <c r="C5" s="4" t="s">
        <v>124</v>
      </c>
      <c r="D5" s="4" t="s">
        <v>125</v>
      </c>
    </row>
    <row r="6" spans="1:14">
      <c r="A6" s="4" t="s">
        <v>43</v>
      </c>
      <c r="B6" s="4" t="s">
        <v>126</v>
      </c>
      <c r="C6" s="4" t="s">
        <v>127</v>
      </c>
      <c r="D6" s="4" t="s">
        <v>125</v>
      </c>
    </row>
    <row r="7" spans="1:14">
      <c r="A7" s="4" t="s">
        <v>24</v>
      </c>
      <c r="B7" s="4" t="s">
        <v>128</v>
      </c>
      <c r="C7" s="4" t="s">
        <v>124</v>
      </c>
      <c r="D7" s="4" t="s">
        <v>129</v>
      </c>
    </row>
    <row r="8" spans="1:14">
      <c r="A8" s="4" t="s">
        <v>25</v>
      </c>
      <c r="B8" s="4" t="s">
        <v>130</v>
      </c>
      <c r="C8" s="4" t="s">
        <v>131</v>
      </c>
      <c r="D8" s="4" t="s">
        <v>125</v>
      </c>
    </row>
    <row r="9" spans="1:14">
      <c r="A9" s="4" t="s">
        <v>45</v>
      </c>
      <c r="B9" s="4" t="s">
        <v>132</v>
      </c>
      <c r="C9" s="4" t="s">
        <v>77</v>
      </c>
      <c r="D9" s="4" t="s">
        <v>129</v>
      </c>
    </row>
    <row r="10" spans="1:14">
      <c r="A10" s="4" t="s">
        <v>18</v>
      </c>
      <c r="B10" s="4" t="s">
        <v>133</v>
      </c>
      <c r="C10" s="4" t="s">
        <v>77</v>
      </c>
      <c r="D10" s="4" t="s">
        <v>134</v>
      </c>
    </row>
    <row r="11" spans="1:14">
      <c r="A11" s="4" t="s">
        <v>62</v>
      </c>
      <c r="B11" s="4" t="s">
        <v>135</v>
      </c>
      <c r="C11" s="4" t="s">
        <v>77</v>
      </c>
      <c r="D11" s="4" t="s">
        <v>134</v>
      </c>
    </row>
    <row r="12" spans="1:14">
      <c r="A12" s="4" t="s">
        <v>22</v>
      </c>
      <c r="B12" s="4" t="s">
        <v>136</v>
      </c>
      <c r="C12" s="4" t="s">
        <v>77</v>
      </c>
      <c r="D12" s="4" t="s">
        <v>129</v>
      </c>
    </row>
    <row r="13" spans="1:14">
      <c r="A13" s="4" t="s">
        <v>26</v>
      </c>
      <c r="B13" s="4" t="s">
        <v>137</v>
      </c>
      <c r="C13" s="4" t="s">
        <v>127</v>
      </c>
      <c r="D13" s="4" t="s">
        <v>125</v>
      </c>
    </row>
    <row r="14" spans="1:14">
      <c r="A14" s="4" t="s">
        <v>138</v>
      </c>
      <c r="B14" s="4" t="s">
        <v>139</v>
      </c>
      <c r="C14" s="4" t="s">
        <v>77</v>
      </c>
      <c r="D14" s="4" t="s">
        <v>140</v>
      </c>
    </row>
    <row r="17" spans="1:4">
      <c r="A17" s="1" t="s">
        <v>141</v>
      </c>
      <c r="B17" s="2" t="s">
        <v>142</v>
      </c>
      <c r="C17" s="2" t="s">
        <v>71</v>
      </c>
      <c r="D17" s="3" t="s">
        <v>143</v>
      </c>
    </row>
    <row r="18" spans="1:4">
      <c r="A18" s="4" t="s">
        <v>144</v>
      </c>
      <c r="B18" s="4" t="s">
        <v>145</v>
      </c>
      <c r="C18" s="4" t="s">
        <v>89</v>
      </c>
      <c r="D18" s="4" t="s">
        <v>146</v>
      </c>
    </row>
    <row r="19" spans="1:4">
      <c r="A19" s="4" t="s">
        <v>147</v>
      </c>
      <c r="B19" s="4" t="s">
        <v>148</v>
      </c>
      <c r="C19" s="4" t="s">
        <v>78</v>
      </c>
      <c r="D19" s="4" t="s">
        <v>149</v>
      </c>
    </row>
    <row r="20" spans="1:4">
      <c r="A20" s="4" t="s">
        <v>150</v>
      </c>
      <c r="B20" s="4" t="s">
        <v>151</v>
      </c>
      <c r="C20" s="4" t="s">
        <v>78</v>
      </c>
      <c r="D20" s="4" t="s">
        <v>152</v>
      </c>
    </row>
    <row r="21" spans="1:4">
      <c r="A21" s="4" t="s">
        <v>153</v>
      </c>
      <c r="B21" s="4" t="s">
        <v>154</v>
      </c>
      <c r="C21" s="4" t="s">
        <v>155</v>
      </c>
      <c r="D21" s="4" t="s">
        <v>156</v>
      </c>
    </row>
  </sheetData>
  <mergeCells count="2">
    <mergeCell ref="A1:D2"/>
    <mergeCell ref="A3:N3"/>
  </mergeCells>
  <phoneticPr fontId="13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Dashboard</vt:lpstr>
      <vt:lpstr>Monthly Model</vt:lpstr>
      <vt:lpstr>Channel Model</vt:lpstr>
      <vt:lpstr>Source Data</vt:lpstr>
      <vt:lpstr>Assumptions</vt:lpstr>
      <vt:lpstr>Checks</vt:lpstr>
      <vt:lpstr>Data Dictionary</vt:lpstr>
      <vt:lpstr>Assumptions!Print_Area</vt:lpstr>
      <vt:lpstr>'Channel Model'!Print_Area</vt:lpstr>
      <vt:lpstr>Checks!Print_Area</vt:lpstr>
      <vt:lpstr>Dashboard!Print_Area</vt:lpstr>
      <vt:lpstr>'Data Dictionary'!Print_Area</vt:lpstr>
      <vt:lpstr>'Monthly Model'!Print_Area</vt:lpstr>
      <vt:lpstr>'Source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Stevenson Tyler</cp:lastModifiedBy>
  <cp:lastPrinted>2026-07-18T13:07:31Z</cp:lastPrinted>
  <dcterms:modified xsi:type="dcterms:W3CDTF">2026-07-18T13:07:32Z</dcterms:modified>
</cp:coreProperties>
</file>